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ergy\Fuel Mix\FMD 2021\Emissions\"/>
    </mc:Choice>
  </mc:AlternateContent>
  <bookViews>
    <workbookView xWindow="0" yWindow="0" windowWidth="19440" windowHeight="5604" tabRatio="717" firstSheet="1" activeTab="1"/>
  </bookViews>
  <sheets>
    <sheet name="Cover" sheetId="28" r:id="rId1"/>
    <sheet name="Utility Emissions 2020" sheetId="1" r:id="rId2"/>
    <sheet name="BPA Load Following Customers" sheetId="27" r:id="rId3"/>
    <sheet name="Clark PUD" sheetId="9" state="hidden" r:id="rId4"/>
    <sheet name="Avista" sheetId="3" state="hidden" r:id="rId5"/>
    <sheet name="Douglas County PUD" sheetId="12" state="hidden" r:id="rId6"/>
    <sheet name="Chelan PUD" sheetId="7" state="hidden" r:id="rId7"/>
    <sheet name="Benton PUD" sheetId="4" state="hidden" r:id="rId8"/>
    <sheet name="Big Bend Electric Coop" sheetId="5" state="hidden" r:id="rId9"/>
    <sheet name="Centralia City Light" sheetId="6" state="hidden" r:id="rId10"/>
    <sheet name="Clallam PUD" sheetId="8" state="hidden" r:id="rId11"/>
    <sheet name="Clearwater Power" sheetId="10" state="hidden" r:id="rId12"/>
    <sheet name="Cowlitz PUD" sheetId="11" state="hidden" r:id="rId13"/>
    <sheet name="Grays Harbor" sheetId="13" state="hidden" r:id="rId14"/>
    <sheet name="Klickitat PUD" sheetId="14" state="hidden" r:id="rId15"/>
    <sheet name="Lewis County PUD" sheetId="15" state="hidden" r:id="rId16"/>
    <sheet name=" Mason County PUD 1" sheetId="16" state="hidden" r:id="rId17"/>
    <sheet name="Mason County PUD 3" sheetId="17" state="hidden" r:id="rId18"/>
    <sheet name="Okanogan PUD 1" sheetId="19" state="hidden" r:id="rId19"/>
    <sheet name="Orcas Power &amp; Light" sheetId="20" state="hidden" r:id="rId20"/>
    <sheet name="PacifiCorp" sheetId="21" state="hidden" r:id="rId21"/>
    <sheet name="Pend Oreille PUD 1" sheetId="23" state="hidden" r:id="rId22"/>
    <sheet name="Peninsula Light" sheetId="22" state="hidden" r:id="rId23"/>
    <sheet name="Puget Sound Energy" sheetId="24" state="hidden" r:id="rId24"/>
    <sheet name="Seattle City Light" sheetId="2" state="hidden" r:id="rId25"/>
    <sheet name="Snohomish County PUD 1" sheetId="25" state="hidden" r:id="rId26"/>
    <sheet name="Tacoma Power" sheetId="26" state="hidden" r:id="rId27"/>
  </sheets>
  <definedNames>
    <definedName name="_xlnm._FilterDatabase" localSheetId="1" hidden="1">'Utility Emissions 2020'!$A$2:$H$2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8" l="1"/>
  <c r="D6" i="8"/>
  <c r="D15" i="1"/>
  <c r="D5" i="8"/>
  <c r="E4" i="9"/>
  <c r="G22" i="27" l="1"/>
  <c r="F22" i="27"/>
  <c r="E22" i="27"/>
  <c r="C22" i="27"/>
  <c r="D22" i="27"/>
  <c r="E17" i="27" l="1"/>
  <c r="E28" i="27"/>
  <c r="E41" i="27"/>
  <c r="E4" i="24"/>
  <c r="E6" i="24"/>
  <c r="F6" i="24" s="1"/>
  <c r="D5" i="24"/>
  <c r="D6" i="24" s="1"/>
  <c r="E6" i="23"/>
  <c r="F6" i="23"/>
  <c r="D6" i="23"/>
  <c r="D5" i="23"/>
  <c r="E4" i="23"/>
  <c r="F6" i="19"/>
  <c r="E6" i="19"/>
  <c r="D6" i="19"/>
  <c r="E4" i="19"/>
  <c r="D6" i="12"/>
  <c r="E4" i="12"/>
  <c r="D6" i="9"/>
  <c r="E6" i="9"/>
  <c r="F6" i="9"/>
  <c r="F6" i="5"/>
  <c r="E6" i="5"/>
  <c r="D6" i="5"/>
  <c r="F4" i="5"/>
  <c r="E4" i="5"/>
  <c r="E6" i="3" l="1"/>
  <c r="D6" i="3"/>
  <c r="B11" i="1" l="1"/>
  <c r="E6" i="7"/>
  <c r="D6" i="7"/>
  <c r="D5" i="25" l="1"/>
  <c r="E62" i="1"/>
  <c r="D4" i="1"/>
  <c r="D8" i="1"/>
  <c r="D12" i="1"/>
  <c r="D13" i="1"/>
  <c r="D14" i="1"/>
  <c r="D18" i="1"/>
  <c r="D19" i="1"/>
  <c r="D20" i="1"/>
  <c r="D23" i="1"/>
  <c r="D24" i="1"/>
  <c r="D25" i="1"/>
  <c r="D26" i="1"/>
  <c r="D27" i="1"/>
  <c r="D28" i="1"/>
  <c r="D32" i="1"/>
  <c r="D33" i="1"/>
  <c r="D34" i="1"/>
  <c r="D35" i="1"/>
  <c r="D37" i="1"/>
  <c r="D41" i="1"/>
  <c r="D42" i="1"/>
  <c r="D43" i="1"/>
  <c r="D44" i="1"/>
  <c r="D46" i="1"/>
  <c r="D47" i="1"/>
  <c r="D50" i="1"/>
  <c r="D52" i="1"/>
  <c r="D55" i="1"/>
  <c r="D56" i="1"/>
  <c r="D61" i="1"/>
  <c r="D63" i="1"/>
  <c r="D64" i="1"/>
  <c r="D66" i="1"/>
  <c r="D67" i="1"/>
  <c r="D68" i="1"/>
  <c r="D69" i="1"/>
  <c r="D70" i="1"/>
  <c r="D58" i="1"/>
  <c r="D3" i="1"/>
  <c r="E37" i="27"/>
  <c r="D36" i="27"/>
  <c r="D37" i="27"/>
  <c r="D38" i="27"/>
  <c r="D39" i="27"/>
  <c r="D40" i="27"/>
  <c r="D41" i="27"/>
  <c r="C36" i="27"/>
  <c r="E36" i="27"/>
  <c r="F36" i="27"/>
  <c r="G36" i="27"/>
  <c r="C37" i="27"/>
  <c r="F37" i="27"/>
  <c r="G37" i="27"/>
  <c r="C38" i="27"/>
  <c r="E38" i="27"/>
  <c r="F38" i="27"/>
  <c r="G38" i="27"/>
  <c r="C39" i="27"/>
  <c r="E39" i="27"/>
  <c r="F39" i="27"/>
  <c r="G39" i="27"/>
  <c r="C40" i="27"/>
  <c r="E40" i="27"/>
  <c r="F40" i="27"/>
  <c r="G40" i="27"/>
  <c r="C41" i="27"/>
  <c r="F41" i="27"/>
  <c r="G41" i="27" s="1"/>
  <c r="F31" i="1"/>
  <c r="G31" i="1" s="1"/>
  <c r="D31" i="1"/>
  <c r="E4" i="27"/>
  <c r="F4" i="27"/>
  <c r="G4" i="27"/>
  <c r="D3" i="27"/>
  <c r="D4" i="27"/>
  <c r="D5" i="27"/>
  <c r="D6" i="27"/>
  <c r="D7" i="27"/>
  <c r="D8" i="27"/>
  <c r="D9" i="27"/>
  <c r="D10" i="27"/>
  <c r="D11" i="27"/>
  <c r="D12" i="27"/>
  <c r="D13" i="27"/>
  <c r="D14" i="27"/>
  <c r="D15" i="27"/>
  <c r="D16" i="27"/>
  <c r="D17" i="27"/>
  <c r="D18" i="27"/>
  <c r="D19" i="27"/>
  <c r="D20" i="27"/>
  <c r="D21" i="27"/>
  <c r="D23" i="27"/>
  <c r="D24" i="27"/>
  <c r="D25" i="27"/>
  <c r="D26" i="27"/>
  <c r="D27" i="27"/>
  <c r="D28" i="27"/>
  <c r="D29" i="27"/>
  <c r="D30" i="27"/>
  <c r="D31" i="27"/>
  <c r="D32" i="27"/>
  <c r="D33" i="27"/>
  <c r="D34" i="27"/>
  <c r="D35" i="27"/>
  <c r="C3" i="27"/>
  <c r="E3" i="27"/>
  <c r="F3" i="27"/>
  <c r="G3" i="27"/>
  <c r="C4" i="27"/>
  <c r="C5" i="27"/>
  <c r="E5" i="27"/>
  <c r="C6" i="27"/>
  <c r="E6" i="27"/>
  <c r="F6" i="27"/>
  <c r="G6" i="27"/>
  <c r="C7" i="27"/>
  <c r="E7" i="27"/>
  <c r="F7" i="27"/>
  <c r="G7" i="27"/>
  <c r="C8" i="27"/>
  <c r="E8" i="27"/>
  <c r="C9" i="27"/>
  <c r="E9" i="27"/>
  <c r="F9" i="27"/>
  <c r="G9" i="27"/>
  <c r="C10" i="27"/>
  <c r="E10" i="27"/>
  <c r="F10" i="27"/>
  <c r="G10" i="27"/>
  <c r="C11" i="27"/>
  <c r="E11" i="27"/>
  <c r="F11" i="27"/>
  <c r="G11" i="27"/>
  <c r="C12" i="27"/>
  <c r="E12" i="27"/>
  <c r="F12" i="27"/>
  <c r="G12" i="27"/>
  <c r="C13" i="27"/>
  <c r="E13" i="27"/>
  <c r="F13" i="27"/>
  <c r="G13" i="27"/>
  <c r="C14" i="27"/>
  <c r="E14" i="27"/>
  <c r="F14" i="27"/>
  <c r="G14" i="27"/>
  <c r="C15" i="27"/>
  <c r="E15" i="27"/>
  <c r="F15" i="27"/>
  <c r="G15" i="27"/>
  <c r="C16" i="27"/>
  <c r="E16" i="27"/>
  <c r="F16" i="27"/>
  <c r="G16" i="27"/>
  <c r="C17" i="27"/>
  <c r="F17" i="27"/>
  <c r="G17" i="27" s="1"/>
  <c r="C18" i="27"/>
  <c r="E18" i="27"/>
  <c r="F18" i="27"/>
  <c r="G18" i="27"/>
  <c r="C19" i="27"/>
  <c r="E19" i="27"/>
  <c r="F19" i="27"/>
  <c r="G19" i="27"/>
  <c r="C20" i="27"/>
  <c r="C21" i="27"/>
  <c r="E21" i="27"/>
  <c r="F21" i="27"/>
  <c r="G21" i="27"/>
  <c r="C23" i="27"/>
  <c r="E23" i="27"/>
  <c r="F23" i="27"/>
  <c r="G23" i="27"/>
  <c r="C24" i="27"/>
  <c r="E24" i="27"/>
  <c r="F24" i="27"/>
  <c r="G24" i="27"/>
  <c r="C25" i="27"/>
  <c r="E25" i="27"/>
  <c r="F25" i="27"/>
  <c r="G25" i="27"/>
  <c r="C26" i="27"/>
  <c r="E26" i="27"/>
  <c r="F26" i="27"/>
  <c r="G26" i="27"/>
  <c r="C27" i="27"/>
  <c r="E27" i="27"/>
  <c r="F27" i="27"/>
  <c r="G27" i="27"/>
  <c r="C28" i="27"/>
  <c r="F28" i="27"/>
  <c r="G28" i="27" s="1"/>
  <c r="C29" i="27"/>
  <c r="C30" i="27"/>
  <c r="E30" i="27"/>
  <c r="F30" i="27"/>
  <c r="G30" i="27"/>
  <c r="C31" i="27"/>
  <c r="E31" i="27"/>
  <c r="F31" i="27"/>
  <c r="G31" i="27"/>
  <c r="C32" i="27"/>
  <c r="E32" i="27"/>
  <c r="F32" i="27"/>
  <c r="G32" i="27"/>
  <c r="C33" i="27"/>
  <c r="E33" i="27"/>
  <c r="F33" i="27"/>
  <c r="G33" i="27"/>
  <c r="C34" i="27"/>
  <c r="E34" i="27"/>
  <c r="F34" i="27"/>
  <c r="G34" i="27"/>
  <c r="C35" i="27"/>
  <c r="E35" i="27"/>
  <c r="F35" i="27"/>
  <c r="G35" i="27"/>
  <c r="C2" i="27"/>
  <c r="E2" i="27"/>
  <c r="F2" i="27"/>
  <c r="G2" i="27"/>
  <c r="D2" i="27"/>
  <c r="H65" i="1"/>
  <c r="G65" i="1"/>
  <c r="F65" i="1"/>
  <c r="E65" i="1"/>
  <c r="D65" i="1"/>
  <c r="C65" i="1"/>
  <c r="B65" i="1"/>
  <c r="E29" i="27"/>
  <c r="F29" i="27"/>
  <c r="G29" i="27"/>
  <c r="E20" i="27"/>
  <c r="F20" i="27"/>
  <c r="G20" i="27"/>
  <c r="F5" i="27"/>
  <c r="G5" i="27"/>
  <c r="F8" i="27"/>
  <c r="G8" i="27"/>
  <c r="H62" i="1"/>
  <c r="G62" i="1"/>
  <c r="F62" i="1"/>
  <c r="D62" i="1"/>
  <c r="C62" i="1"/>
  <c r="B62" i="1"/>
  <c r="H57" i="1"/>
  <c r="G57" i="1"/>
  <c r="F57" i="1"/>
  <c r="E57" i="1"/>
  <c r="D57" i="1"/>
  <c r="C57" i="1"/>
  <c r="B57" i="1"/>
  <c r="H53" i="1"/>
  <c r="G53" i="1"/>
  <c r="F53" i="1"/>
  <c r="E53" i="1"/>
  <c r="D53" i="1"/>
  <c r="C53" i="1"/>
  <c r="B53" i="1"/>
  <c r="H54" i="1"/>
  <c r="G54" i="1"/>
  <c r="F54" i="1"/>
  <c r="E54" i="1"/>
  <c r="D54" i="1"/>
  <c r="C54" i="1"/>
  <c r="B54" i="1"/>
  <c r="F51" i="1"/>
  <c r="H51" i="1"/>
  <c r="G51" i="1"/>
  <c r="E51" i="1"/>
  <c r="D51" i="1"/>
  <c r="C51" i="1"/>
  <c r="B51" i="1"/>
  <c r="H49" i="1"/>
  <c r="G49" i="1"/>
  <c r="F49" i="1"/>
  <c r="E49" i="1"/>
  <c r="D49" i="1"/>
  <c r="C49" i="1"/>
  <c r="B49" i="1"/>
  <c r="H48" i="1"/>
  <c r="G48" i="1"/>
  <c r="F48" i="1"/>
  <c r="E48" i="1"/>
  <c r="D48" i="1"/>
  <c r="C48" i="1"/>
  <c r="B48" i="1"/>
  <c r="H40" i="1"/>
  <c r="G40" i="1"/>
  <c r="F40" i="1"/>
  <c r="E40" i="1"/>
  <c r="D40" i="1"/>
  <c r="C40" i="1"/>
  <c r="B40" i="1"/>
  <c r="H39" i="1"/>
  <c r="G39" i="1"/>
  <c r="F39" i="1"/>
  <c r="E39" i="1"/>
  <c r="D39" i="1"/>
  <c r="C39" i="1"/>
  <c r="B39" i="1"/>
  <c r="H38" i="1"/>
  <c r="G38" i="1"/>
  <c r="F38" i="1"/>
  <c r="E38" i="1"/>
  <c r="D38" i="1"/>
  <c r="C38" i="1"/>
  <c r="B38" i="1"/>
  <c r="H36" i="1"/>
  <c r="G36" i="1"/>
  <c r="F36" i="1"/>
  <c r="E36" i="1"/>
  <c r="D36" i="1"/>
  <c r="C36" i="1"/>
  <c r="B36" i="1"/>
  <c r="E6" i="12"/>
  <c r="F22" i="1"/>
  <c r="E22" i="1"/>
  <c r="D22" i="1"/>
  <c r="C22" i="1"/>
  <c r="B22" i="1"/>
  <c r="H21" i="1"/>
  <c r="G21" i="1"/>
  <c r="F21" i="1"/>
  <c r="E21" i="1"/>
  <c r="D21" i="1"/>
  <c r="C21" i="1"/>
  <c r="B21" i="1"/>
  <c r="H17" i="1"/>
  <c r="G17" i="1"/>
  <c r="F17" i="1"/>
  <c r="E17" i="1"/>
  <c r="D17" i="1"/>
  <c r="C17" i="1"/>
  <c r="B17" i="1"/>
  <c r="H16" i="1"/>
  <c r="G16" i="1"/>
  <c r="F16" i="1"/>
  <c r="E16" i="1"/>
  <c r="D16" i="1"/>
  <c r="C16" i="1"/>
  <c r="B16" i="1"/>
  <c r="H15" i="1"/>
  <c r="G15" i="1"/>
  <c r="F15" i="1"/>
  <c r="E15" i="1"/>
  <c r="C15" i="1"/>
  <c r="H11" i="1"/>
  <c r="G11" i="1"/>
  <c r="F11" i="1"/>
  <c r="E11" i="1"/>
  <c r="D11" i="1"/>
  <c r="C11" i="1"/>
  <c r="H10" i="1"/>
  <c r="G10" i="1"/>
  <c r="F10" i="1"/>
  <c r="E10" i="1"/>
  <c r="D10" i="1"/>
  <c r="C10" i="1"/>
  <c r="B10" i="1"/>
  <c r="H9" i="1"/>
  <c r="G9" i="1"/>
  <c r="F9" i="1"/>
  <c r="E9" i="1"/>
  <c r="D9" i="1"/>
  <c r="C9" i="1"/>
  <c r="B9" i="1"/>
  <c r="H7" i="1"/>
  <c r="G7" i="1"/>
  <c r="F7" i="1"/>
  <c r="E7" i="1"/>
  <c r="D7" i="1"/>
  <c r="C7" i="1"/>
  <c r="B7" i="1"/>
  <c r="H6" i="1"/>
  <c r="G6" i="1"/>
  <c r="F6" i="1"/>
  <c r="E6" i="1"/>
  <c r="D6" i="1"/>
  <c r="C6" i="1"/>
  <c r="B6" i="1"/>
  <c r="H60" i="1"/>
  <c r="G60" i="1"/>
  <c r="F60" i="1"/>
  <c r="E60" i="1"/>
  <c r="D60" i="1"/>
  <c r="C60" i="1"/>
  <c r="B60" i="1"/>
  <c r="C71" i="1" l="1"/>
  <c r="E71" i="1"/>
  <c r="F71" i="1"/>
  <c r="D71" i="1"/>
  <c r="G22" i="1"/>
  <c r="F6" i="12"/>
  <c r="H22" i="1" s="1"/>
  <c r="H31" i="1"/>
  <c r="B71" i="1"/>
  <c r="G71" i="1"/>
</calcChain>
</file>

<file path=xl/sharedStrings.xml><?xml version="1.0" encoding="utf-8"?>
<sst xmlns="http://schemas.openxmlformats.org/spreadsheetml/2006/main" count="332" uniqueCount="129">
  <si>
    <t xml:space="preserve">Utility Name </t>
  </si>
  <si>
    <t xml:space="preserve">Specified Sources with Emissions (MWh) </t>
  </si>
  <si>
    <t xml:space="preserve">Unspecified Sources (MWh) </t>
  </si>
  <si>
    <t xml:space="preserve">Specified Sources without Emissions (MWh) </t>
  </si>
  <si>
    <t>Emissions from Specified Sources (metric tons CO2e)</t>
  </si>
  <si>
    <t>Emissions from Unspecified Sources (metric tons CO2e)</t>
  </si>
  <si>
    <t xml:space="preserve">Total 2020 emissions (CO2e) </t>
  </si>
  <si>
    <t>Average emissions rate (metric tons/MWh)</t>
  </si>
  <si>
    <t>2020 Claims (MWh)</t>
  </si>
  <si>
    <t>Emissions (metric tons CO2e)</t>
  </si>
  <si>
    <t>Emission Rate (metric tons/MWh)</t>
  </si>
  <si>
    <t>Specified sources with emissions</t>
  </si>
  <si>
    <t>Unspecified sources</t>
  </si>
  <si>
    <t>Specified sources without emissions</t>
  </si>
  <si>
    <t>Total or average</t>
  </si>
  <si>
    <t>Summary - Seattle City Light</t>
  </si>
  <si>
    <t>Seattle City Light</t>
  </si>
  <si>
    <t>Avista</t>
  </si>
  <si>
    <t>Summary- Avista</t>
  </si>
  <si>
    <t>Benton PUD</t>
  </si>
  <si>
    <t>Summary - Benton PUD</t>
  </si>
  <si>
    <t>Big Bend Electric Coop</t>
  </si>
  <si>
    <t>Summary - Big Bend Electric Coop</t>
  </si>
  <si>
    <t>Centralia City Light</t>
  </si>
  <si>
    <t>Summary - Centralia City Light</t>
  </si>
  <si>
    <t>Chelan PUD</t>
  </si>
  <si>
    <t>Summary - Clallam PUD</t>
  </si>
  <si>
    <t>Summary - Clark PUD</t>
  </si>
  <si>
    <t>Summary - Clearwater Power</t>
  </si>
  <si>
    <t>Clearwater Power</t>
  </si>
  <si>
    <t>Summary - Cowltiz PUD</t>
  </si>
  <si>
    <t>Summary - Douglas County PUD #1</t>
  </si>
  <si>
    <t>Grays Harbor PUD</t>
  </si>
  <si>
    <t>Summary - Grays Harbor</t>
  </si>
  <si>
    <t>Summary - Klickitat PUD</t>
  </si>
  <si>
    <t>Klickitat PUD</t>
  </si>
  <si>
    <t>Summary - Lewis County PUD</t>
  </si>
  <si>
    <t>Mason County PUD #3</t>
  </si>
  <si>
    <t>Summary - Mason County PUD #1</t>
  </si>
  <si>
    <t>Market/BPA</t>
  </si>
  <si>
    <t>Summary - Okanogan PUD #1</t>
  </si>
  <si>
    <t>Orcas Power and Light</t>
  </si>
  <si>
    <t>Summary- Orcas Power and Light</t>
  </si>
  <si>
    <t>Summary - PacifiCorp</t>
  </si>
  <si>
    <t>PacifiCorp</t>
  </si>
  <si>
    <t>Summary - Pen Light</t>
  </si>
  <si>
    <t>Peninsula Light</t>
  </si>
  <si>
    <t>Summary - Pend Oreille PUD #1</t>
  </si>
  <si>
    <t>Puget Sound Energy</t>
  </si>
  <si>
    <t>Summary - Puget Sound Energy</t>
  </si>
  <si>
    <t>Summary - Snohomish County PUD #1</t>
  </si>
  <si>
    <t xml:space="preserve">Tacoma Power </t>
  </si>
  <si>
    <t>Summary - Tacoma Power</t>
  </si>
  <si>
    <t>Utility name</t>
  </si>
  <si>
    <t>Alder Mutual Light</t>
  </si>
  <si>
    <t>Total Emissions (CO2)</t>
  </si>
  <si>
    <t>Hydro (MWh)</t>
  </si>
  <si>
    <t>Nuclear (MWh)</t>
  </si>
  <si>
    <t>Total BPA Purchase (MWh)</t>
  </si>
  <si>
    <t xml:space="preserve">Unspecified (MWh) </t>
  </si>
  <si>
    <t xml:space="preserve">Asotin County PUD </t>
  </si>
  <si>
    <t>Average Emissions Rate</t>
  </si>
  <si>
    <t>Avangrid</t>
  </si>
  <si>
    <t>Benton Rural Electric Association</t>
  </si>
  <si>
    <t>Cheney Light Department</t>
  </si>
  <si>
    <t>Chewelah Electric Department</t>
  </si>
  <si>
    <t xml:space="preserve">City of Blaine </t>
  </si>
  <si>
    <t>Columbia Rural Electric Association</t>
  </si>
  <si>
    <t>Consolidated Irrigation District #19</t>
  </si>
  <si>
    <t>Coulee Dam, Town of</t>
  </si>
  <si>
    <t>Eatonville Electric Department</t>
  </si>
  <si>
    <t>Ellensburg Electric Division</t>
  </si>
  <si>
    <t>Elmhurst Mutual Power &amp; Light</t>
  </si>
  <si>
    <t>Energy Northwest</t>
  </si>
  <si>
    <t>Fairchild Airforce Base</t>
  </si>
  <si>
    <t>Grant County PUD #2</t>
  </si>
  <si>
    <t>Inland Power and Light</t>
  </si>
  <si>
    <t>Kalispel Tribal Utility</t>
  </si>
  <si>
    <t>Lakeview Light and Power</t>
  </si>
  <si>
    <t>Lewis County PUD #1</t>
  </si>
  <si>
    <t>Cowlitz County PUD #1</t>
  </si>
  <si>
    <t>Douglas County PUD #1</t>
  </si>
  <si>
    <t>McCleary Light and Power</t>
  </si>
  <si>
    <t>Milton Electric District</t>
  </si>
  <si>
    <t>Modern Electric Water Company</t>
  </si>
  <si>
    <t>Nespelem Valley Electric Coop</t>
  </si>
  <si>
    <t xml:space="preserve">Northern Lights </t>
  </si>
  <si>
    <t xml:space="preserve">Ohop Mutual Light </t>
  </si>
  <si>
    <t xml:space="preserve">Okanogan County Electric Coop </t>
  </si>
  <si>
    <t>Pacific PUD #2</t>
  </si>
  <si>
    <t>Parkland Light and Water</t>
  </si>
  <si>
    <t>Pend Oreille PUD #1</t>
  </si>
  <si>
    <t>Snohomish County PUD #1</t>
  </si>
  <si>
    <t>Port Angeles Light Operations</t>
  </si>
  <si>
    <t xml:space="preserve">Port of Seattle </t>
  </si>
  <si>
    <t xml:space="preserve">Richland Energy Services </t>
  </si>
  <si>
    <t xml:space="preserve">Ruston, Town of </t>
  </si>
  <si>
    <t>Skamania County PUD #1</t>
  </si>
  <si>
    <t>Steilacoom Electric Utility</t>
  </si>
  <si>
    <t>Sumas, City of</t>
  </si>
  <si>
    <t>Tanner Electric Coop</t>
  </si>
  <si>
    <t>Vera Power and Water</t>
  </si>
  <si>
    <t>Wahkiakum County PUD #1</t>
  </si>
  <si>
    <t>Whatcom County PUD #1</t>
  </si>
  <si>
    <t>Yakama Power</t>
  </si>
  <si>
    <t>Franklin County PUD #1</t>
  </si>
  <si>
    <t xml:space="preserve">TOTAL </t>
  </si>
  <si>
    <t>The emissions reported by utilities and summarized in this table do not precisely match the statewide emissions calculation published as part of the 2020 fuel mix</t>
  </si>
  <si>
    <t>disclosure report. The utility report uses emissions factors specified by the Department of Ecology by rule, and for some generating facilities the emissions</t>
  </si>
  <si>
    <t>rate differs from the rate used in fuel mix calculations. The results also differ due to methods of attributing emissions to electricity from unspecified sources.</t>
  </si>
  <si>
    <t>The Ecology rule uses an imputed rate of 0.437 metric tons per MWh, and the fuel mix calculation uses a rate of 0.388 metrics tons per MWh that is based on</t>
  </si>
  <si>
    <t>a residual mix calculation for the Northwest Power Pool. Commerce expects to reconcile the two methods in future reports.</t>
  </si>
  <si>
    <t>Clark County PUD #1</t>
  </si>
  <si>
    <t>Clallam County PUD #1</t>
  </si>
  <si>
    <t>Ferry County PUD #1</t>
  </si>
  <si>
    <t>Jefferson County PUD #1</t>
  </si>
  <si>
    <t>Kittitas County PUD #1</t>
  </si>
  <si>
    <t>Mason County PUD #1</t>
  </si>
  <si>
    <t>Okanogan County PUD #1</t>
  </si>
  <si>
    <t xml:space="preserve">In some cases, a utility did not submit the greenhouse gas emissions report and Commerce calculated an emissions rate based on its fuel mix disclosure report. </t>
  </si>
  <si>
    <t xml:space="preserve">Starting in 2021, each utility must calculate and report the greenhouse gas content of the electricity it provides to retail customers in Washington. This calculation must be based on the amounts and fuel sources claimed in the fuel mix disclosure program. Emissions must be calculated using a methodology established by the Department of Ecology. </t>
  </si>
  <si>
    <t xml:space="preserve">WAC 173-444-040: Greenhouse gas content calculation.
Use the following methods to calculate the greenhouse gas emissions content in electricity.
(1) Utility emissions.
(a) Total annual utility greenhouse gas emissions are calculated using Equation 1 of this subsection.
Equation 1
Utility Emissions = EPA + EIA + unspecified
Where:
• Utility emissions = Total of all GHG emissions for the facility for the calendar year, metric tons CO2e/year.
• EPA = Total of all GHG emissions calculated using the EPA methodology in subsection (2) of this section, metric tons CO2e/year.
• EIA = Total of all GHG emissions calculated using the EIA methodology in subsection (3) of this section, metric tons CO2e/year.
• Unspecified = Total of all GHG emissions calculated using the unspecified electricity methodology in subsection (4) of this section, metric tons CO2e/year.
(b) Do not include nonemitting electric generation and renewable resources when calculating utility emissions using Equation 1 of this subsection.
(c) Methodology selection:
(i) Use the conditions in subsections (2)(g), (3)(f), and (4) of this section to determine the appropriate method for a given quantity of electricity. Figure 1 of this subsection provides a simplified representation of the method selection process, but subsections (2)(g), (3)(f), and (4) of this section take precedence.
(ii) The methodologies in subsections (2) through (4) of this section are ordered from most to least preferred, with subsection (2) of this section being the most preferred.
(iii) The regulatory agency may instruct a utility to use a specific method from this section on a case-by-case basis if the regulatory agency determines another method is not appropriate in that case.
Figure 1: Simplified representation of the method selection process
</t>
  </si>
  <si>
    <t xml:space="preserve">(2) EPA methodology. This methodology calculates greenhouse gas emissions content in electricity using public data from the Environmental Protection Agency's (EPA) Greenhouse Gas Reporting Program established under 40 C.F.R. Part 98 as adopted by WAC 173-441-120 and public data from the Energy Information Administration's (EIA) Form EIA-923 program.
(a) GHG emissions from each power plant are calculated individually then summed to create a utility specific total for this method using Equation 2 of this subsection.
</t>
  </si>
  <si>
    <t xml:space="preserve">Where:
• EPA = Total of all GHG emissions calculated using the EPA methodology, metric tons CO2e/year.
• EPA plant GHG emissions = sum of all GHG emissions from the individual power plant as calculated by subsection (2)(b) of this section, metric tons CO2e/year.
• Cogeneration correction factor = ratio of electric energy to total energy for the individual power plant as calculated by subsection (2)(f) of this section, unitless.
• Plant net electric generation = sum of all net generation from the individual power plant as calculated by subsection (2)(c) of this section, MWh/year.
• Utility claims = sum of all utility claims for the individual power plant as calculated by subsection (2)(d) of this section, MWh/year.
• Transmission losses = estimate of transmission losses between the individual power plant and utility customers as calculated by subsection (2)(e) of this section, MWh/year.
• n = number of power plants with utility claims using this method in the given calendar year.
(b) EPA plant GHG emissions. GHG emissions for this method are defined as the sum of all Subpart C and Subpart D emissions from the individual power plant as published by EPA based on 40 C.F.R. Part 98 reporting consistent with the methods adopted in WAC 173-441-120. Emissions are on a calendar year basis and in units of metric tons CO2e. Use emissions values specific to the calendar year in the calculation. If EPA has not yet published emissions values for the calendar year in the calculation, use the most recent five year rolling average published emissions values. The total must include all reported GHGs, including biogenic CO2, listed in Table A-1 of WAC 173-441-040 converted into CO2e as specified in that section.
(c) Plant net electric generation. Sum of all annual net generation (megawatt-hours) from Form EIA-923 for the power plant for the calendar year for all reported fuel type codes.
(d) Utility claims. Claims of the reporting utility for the power plant measured at the busbar for the calendar year as established by:
(i) Information submitted to the department of commerce under RCW 19.29A.140 and rules implementing that section; or
(ii) Information reported to the utilities and transportation commission under WAC 480-109-300 or its successor, should that provision be amended or recodified.
(e) Transmission losses. Calculate transmission losses using subsection (5) of this section.
(f) Cogeneration correction factor. Account for nonelectric heat use at the power plant by dividing the sum of all annual Elec Fuel Consumption MMBtu by the sum of all annual Total Fuel Consumption MMBtu from Form EIA-923.
(g) Use this methodology only when all of the following conditions are met for the individual power plant and calendar year:
(i) The utility can demonstrate the originating power plant for the electricity with a claim that meets the standards of subsection (2)(d) of this section.
(ii) EPA has published GHG emissions totals for the power plant consistent with subsection (2)(b) of this section. The published report must not be flagged by EPA as having not met EPA's verification requirements.
(iii) Published EPA GHG emissions for the power plant must not include any biomass energy.
(iv) EIA has published electric power data for the power plant consistent with subsections (2)(c) and (f) of this section.
(v) The power plant is not classified as a combined heat and power plant in that year's Form EIA-923 report.
(vi) The cogeneration correction factor calculated in subsection (2)(f) of this section must be 0.9 or greater.
</t>
  </si>
  <si>
    <t>(3) EIA methodology. This methodology calculates greenhouse gas emissions content in electricity using public data from the EIA's Form EIA-923 program or an approved alternate data source.
(a) GHG emissions from each power plant or aggregate source are calculated individually then summed to create a utility specific total for this method using Equation 3 of this subsection.</t>
  </si>
  <si>
    <t xml:space="preserve"> Where:
• EIA = Total of all GHG emissions calculated using the EIA methodology, metric tons CO2e/year.
• EIA GHG emissions = sum of all GHG emissions from the individual power plant or aggregate source as calculated by subsection (3)(b) of this section, metric tons CO2e/year.
• Net electric generation = sum of all net generation from the individual power plant or aggregate source as calculated by subsection (3)(c) of this section, MWh/year.
• Utility claims = sum of all utility claims for the individual power plant or aggregate source as calculated by subsection (3)(d) of this section, MWh/year.
• Transmission losses = estimate of transmission losses between the individual power plant or aggregate source and utility customers as calculated by subsection (3)(e) of this section, MWh/year.
• n = number of power plants and aggregate sources with utility claims using this method in the given calendar year.
(b) EIA GHG emissions. GHG emissions for this method are defined as the sum of all GHG emissions from the individual power plant or aggregate source based on fuel quantities published by EIA or from an approved alternate source. Emissions are on a calendar year basis and in units of metric tons CO2e.
(i) GHG emissions are calculated separately for either:
(A) Whenever possible: Each power plant, calendar year, and reported fuel type; or
(B) When power plant information is not available: Each aggregate source, calendar year, and source type.
(ii) GHG emissions for nonemitting electric generation and renewable resources must be calculated, but kept separate from other types of GHG emissions.
(iii) GHG emissions, including CO2, CH4, and N2O, from combustion are calculated using the Tier 1 Calculation Methodology in Subpart C of 40 C.F.R. Part 98 as adopted by WAC 173-441-120.
(A) For fuel quantity use one of the following:
(I) For plant level emissions use annual electric fuel consumption quantity; or
(II) For aggregate source level emissions use the total fuel consumption quantity for the aggregate source.
(III) The regulatory agency may approve an alternate fuel quantity data source for the plant or aggregate source.
(B) Use WAC 174-441-080 to convert units as needed.
(C) The high heat value, CO2 emissions factor, CH4 emissions factor, and N2O emissions factor for the following source types are assumed to be zero:
(I) Geothermal;
(II) Nuclear;
(III) Solar;
(IV) Water;
(V) Wind.
</t>
  </si>
  <si>
    <t xml:space="preserve">(D) Calculate emissions for carbon dioxide, methane, and nitrous oxide. Calculate total GHG emissions for each fuel type using Equation A-1 of WAC 173-441-030.
(iv) Fugitive CO2 emissions from steam geothermal sources must be calculated by multiplying plant net electric generation from steam geothermal sources as described in subsection (3)(c) of this section by 0.04028 metric tons/MWh. Add this value to the combustion emissions calculated in subsection (3)(b)(iii) of this section.
(v) Sum total GHG emissions for all fuel types to get the total power plant or aggregate source GHG emissions for the year, including nonemitting electric generation and renewable resources. Provide a second total that excludes nonemitting electric generation and renewable resources.
(vi) GHG emissions from an asset-controlling supplier aggregate source may be a single value, including multiple source types, specific to that asset-controlling supplier provided that the value was originally calculated in accordance with this chapter and approved by the regulatory agency.
(c) Net electric generation. Calculate the net electric generation, using one of the following:
(i) For plant net electric generation sum all net generation (megawatt-hours) for the power plant for the calendar year for all reported fuel type codes;
(ii) For aggregate source net electric generation sum all net generation (megawatt-hours) for the aggregate source for the calendar year;
(iii) The regulatory agency may approve an alternate net electric generation data source for the plant or aggregate source; or
(iv) Net electric generation from an asset-controlling supplier aggregate source may be a single value, including multiple source types, specific to that asset-controlling supplier provided that the value was originally calculated in accordance with this chapter and approved by the regulatory agency.
(d) Utility claims. Claims of the reporting utility for the power plant or aggregate source measured at the busbar for the calendar year as established by:
(i) Information submitted to the department of commerce under RCW 19.29A.140 and rules implementing that section; or
(ii) Information reported to the utilities and transportation commission under WAC 480-109-300 or its successor, should that provision be amended or recodified.
(e) Transmission losses. Calculate transmission losses using subsection (5) of this section.
(f) Use this methodology only when the following conditions are met for the individual power plant or aggregate source and calendar year:
(i) The utility can demonstrate the originating power plant or aggregate source for the electricity with a claim that meets the standards of subsection (3)(d) of this section.
(ii) One of the following conditions is met:
(A) EIA has published electric power data for the power plant or aggregate source consistent with (b) and (c) of this subsection; or
(B) The regulatory agency has approved an alternate data source for the plant or aggregate source.
(4) Unspecified electricity. Use Equation 4 of this subsection when calculating greenhouse gas emissions content in electricity for unspecified electricity.
</t>
  </si>
  <si>
    <t>Where:
• Unspecified = Total of all GHG emissions calculated using the unspecified electricity methodology, metric tons CO2e/year.
• UE = Total electricity subject to this method, MWh/calendar year.
• UCO2e = 0.437 metric tons CO2e/MWh of electricity.
(5) Transmission losses. Calculate transmission losses using the following method as directed by the regulatory agency.
(a) Calculate transmission losses at the following levels from most to least preferred depending on data availability:
(i) Specific to the individual power plant;
(ii) Specific to the aggregate source;
(iii) Generalized for the utility.
(b) Use one of the following to calculate transmission losses:
(i) If utility claims are reported on a sales basis, then multiply total sales in MWh by 1-(retail sales MWh/total claims MWh).
(ii) Transmission losses in this equation are zero MWh if:
(A) Utility claims are reported on a plant net output basis, like utility claims measured at the busbar; or
(B) The emissions rate already includes transmission losses; or
(C) The emissions rate is from an asset-controlling supplier where that emissions rate was approved by the regulatory agency.
(iii) If unable to calculate transmission losses using subsection (5)(b)(i) or (ii) of this section, then multiply utility claims in MWh by:
(A) 5%; or
(B) A value specified by the regulatory agency.
[Statutory Authority: Chapter 19.405 RCW, RCW 19.405.020(18), 19.405.040, 19.405.100 and 70A.45.010. WSR 21-02-091 (Order 19-08), § 173-444-040, filed 1/6/21, effective 2/6/21.]</t>
  </si>
  <si>
    <t>Utility Greenhouse Gas Emissions Report - CY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</si>
</sst>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00"/>
    <numFmt numFmtId="166" formatCode="_(* #,##0.000_);_(* \(#,##0.000\);_(* &quot;-&quot;??_);_(@_)"/>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Arial"/>
      <family val="2"/>
    </font>
    <font>
      <b/>
      <sz val="10"/>
      <color theme="1"/>
      <name val="Arial"/>
      <family val="2"/>
    </font>
    <font>
      <sz val="10"/>
      <color theme="1"/>
      <name val="Arial"/>
      <family val="2"/>
    </font>
    <font>
      <sz val="10"/>
      <name val="Arial"/>
      <family val="2"/>
    </font>
    <font>
      <sz val="11"/>
      <color indexed="8"/>
      <name val="Calibri"/>
      <family val="2"/>
      <scheme val="minor"/>
    </font>
    <font>
      <b/>
      <sz val="18"/>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00B0F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7">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2" fillId="0" borderId="0"/>
    <xf numFmtId="43" fontId="22"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0" fontId="16" fillId="33" borderId="0" xfId="0" applyFont="1" applyFill="1"/>
    <xf numFmtId="0" fontId="16" fillId="33" borderId="10" xfId="0" applyFont="1" applyFill="1" applyBorder="1"/>
    <xf numFmtId="0" fontId="16" fillId="33" borderId="10" xfId="0" applyFont="1" applyFill="1" applyBorder="1" applyAlignment="1">
      <alignment wrapText="1"/>
    </xf>
    <xf numFmtId="165" fontId="0" fillId="0" borderId="0" xfId="0" applyNumberFormat="1"/>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0" fillId="0" borderId="0" xfId="0"/>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3" fontId="0" fillId="0" borderId="0" xfId="0" applyNumberFormat="1"/>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20" fillId="0" borderId="0" xfId="0" applyFont="1"/>
    <xf numFmtId="165" fontId="20" fillId="0" borderId="0" xfId="0" applyNumberFormat="1" applyFont="1"/>
    <xf numFmtId="1" fontId="18" fillId="34" borderId="12" xfId="0" applyNumberFormat="1" applyFont="1" applyFill="1" applyBorder="1" applyAlignment="1">
      <alignment horizontal="center" wrapText="1"/>
    </xf>
    <xf numFmtId="1" fontId="18" fillId="34" borderId="13" xfId="0" applyNumberFormat="1" applyFont="1" applyFill="1" applyBorder="1" applyAlignment="1">
      <alignment horizontal="center" wrapText="1"/>
    </xf>
    <xf numFmtId="0" fontId="18" fillId="34" borderId="13" xfId="0" applyFont="1" applyFill="1" applyBorder="1" applyAlignment="1">
      <alignment horizontal="left" wrapText="1"/>
    </xf>
    <xf numFmtId="0" fontId="18" fillId="34" borderId="14" xfId="0" applyFont="1" applyFill="1" applyBorder="1" applyAlignment="1">
      <alignment horizontal="center" wrapText="1"/>
    </xf>
    <xf numFmtId="0" fontId="18" fillId="34" borderId="10" xfId="0" applyFont="1" applyFill="1" applyBorder="1" applyAlignment="1">
      <alignment horizontal="center" wrapText="1"/>
    </xf>
    <xf numFmtId="164" fontId="20" fillId="0" borderId="0" xfId="0" applyNumberFormat="1" applyFont="1"/>
    <xf numFmtId="164" fontId="20" fillId="0" borderId="11" xfId="0" applyNumberFormat="1" applyFont="1" applyBorder="1"/>
    <xf numFmtId="164" fontId="20" fillId="0" borderId="11" xfId="1" applyNumberFormat="1" applyFont="1" applyBorder="1"/>
    <xf numFmtId="165" fontId="20" fillId="0" borderId="11" xfId="0" applyNumberFormat="1" applyFont="1" applyBorder="1"/>
    <xf numFmtId="0" fontId="16" fillId="36" borderId="0" xfId="0" applyFont="1" applyFill="1"/>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0" fillId="0" borderId="0" xfId="0"/>
    <xf numFmtId="43" fontId="0" fillId="0" borderId="0" xfId="0" applyNumberFormat="1"/>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3" fontId="0" fillId="0" borderId="0" xfId="0" applyNumberFormat="1"/>
    <xf numFmtId="1" fontId="0" fillId="0" borderId="0" xfId="1" applyNumberFormat="1" applyFont="1"/>
    <xf numFmtId="166" fontId="0" fillId="0" borderId="0" xfId="1" applyNumberFormat="1" applyFont="1"/>
    <xf numFmtId="0" fontId="0" fillId="0" borderId="0" xfId="0"/>
    <xf numFmtId="0" fontId="0" fillId="33" borderId="0" xfId="0" applyFill="1"/>
    <xf numFmtId="0" fontId="16" fillId="37" borderId="15" xfId="0" applyFont="1" applyFill="1" applyBorder="1"/>
    <xf numFmtId="43" fontId="16" fillId="37" borderId="17" xfId="1" applyFont="1" applyFill="1" applyBorder="1"/>
    <xf numFmtId="1" fontId="0" fillId="35" borderId="0" xfId="1" applyNumberFormat="1" applyFont="1" applyFill="1"/>
    <xf numFmtId="1" fontId="0" fillId="0" borderId="0" xfId="1" applyNumberFormat="1" applyFont="1" applyFill="1"/>
    <xf numFmtId="164" fontId="16" fillId="37" borderId="16" xfId="1" applyNumberFormat="1" applyFont="1" applyFill="1" applyBorder="1"/>
    <xf numFmtId="164" fontId="16" fillId="37" borderId="17" xfId="1" applyNumberFormat="1" applyFont="1" applyFill="1" applyBorder="1"/>
    <xf numFmtId="165" fontId="0" fillId="0" borderId="0" xfId="1" applyNumberFormat="1" applyFont="1"/>
    <xf numFmtId="0" fontId="16" fillId="36" borderId="0" xfId="0" applyFont="1" applyFill="1" applyAlignment="1">
      <alignment wrapText="1"/>
    </xf>
    <xf numFmtId="1" fontId="0" fillId="0" borderId="0" xfId="0" applyNumberFormat="1"/>
    <xf numFmtId="0" fontId="0" fillId="0" borderId="0" xfId="0"/>
    <xf numFmtId="0" fontId="0" fillId="0" borderId="0" xfId="0" applyAlignment="1">
      <alignment vertical="top" wrapText="1"/>
    </xf>
    <xf numFmtId="0" fontId="23" fillId="39" borderId="0" xfId="0" applyFont="1" applyFill="1"/>
    <xf numFmtId="0" fontId="0" fillId="38" borderId="0" xfId="0" applyFill="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center"/>
    </xf>
    <xf numFmtId="0" fontId="0" fillId="33" borderId="11" xfId="0" applyFill="1" applyBorder="1" applyAlignment="1">
      <alignment horizontal="left" vertical="top" wrapText="1"/>
    </xf>
    <xf numFmtId="0" fontId="0" fillId="0" borderId="0" xfId="0"/>
    <xf numFmtId="0" fontId="19" fillId="34" borderId="12" xfId="0" applyFont="1" applyFill="1" applyBorder="1" applyAlignment="1">
      <alignment horizontal="center" wrapText="1"/>
    </xf>
    <xf numFmtId="0" fontId="19" fillId="34" borderId="13" xfId="0" applyFont="1" applyFill="1" applyBorder="1" applyAlignment="1">
      <alignment horizontal="center" wrapText="1"/>
    </xf>
    <xf numFmtId="0" fontId="19" fillId="34" borderId="14" xfId="0" applyFont="1" applyFill="1" applyBorder="1" applyAlignment="1">
      <alignment horizont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cellStyle name="Normal 3" xfId="44"/>
    <cellStyle name="Note" xfId="16" builtinId="10" customBuiltin="1"/>
    <cellStyle name="Output" xfId="11" builtinId="21" customBuiltin="1"/>
    <cellStyle name="Percent 2" xfId="46"/>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502092</xdr:colOff>
      <xdr:row>3</xdr:row>
      <xdr:rowOff>55460</xdr:rowOff>
    </xdr:from>
    <xdr:to>
      <xdr:col>10</xdr:col>
      <xdr:colOff>539306</xdr:colOff>
      <xdr:row>39</xdr:row>
      <xdr:rowOff>77053</xdr:rowOff>
    </xdr:to>
    <xdr:pic>
      <xdr:nvPicPr>
        <xdr:cNvPr id="2" name="Picture 1"/>
        <xdr:cNvPicPr>
          <a:picLocks noChangeAspect="1"/>
        </xdr:cNvPicPr>
      </xdr:nvPicPr>
      <xdr:blipFill>
        <a:blip xmlns:r="http://schemas.openxmlformats.org/officeDocument/2006/relationships" r:embed="rId1"/>
        <a:stretch>
          <a:fillRect/>
        </a:stretch>
      </xdr:blipFill>
      <xdr:spPr>
        <a:xfrm>
          <a:off x="1108870" y="3893682"/>
          <a:ext cx="5498214" cy="6625593"/>
        </a:xfrm>
        <a:prstGeom prst="rect">
          <a:avLst/>
        </a:prstGeom>
      </xdr:spPr>
    </xdr:pic>
    <xdr:clientData/>
  </xdr:twoCellAnchor>
  <xdr:twoCellAnchor editAs="oneCell">
    <xdr:from>
      <xdr:col>0</xdr:col>
      <xdr:colOff>423333</xdr:colOff>
      <xdr:row>41</xdr:row>
      <xdr:rowOff>239889</xdr:rowOff>
    </xdr:from>
    <xdr:to>
      <xdr:col>10</xdr:col>
      <xdr:colOff>564445</xdr:colOff>
      <xdr:row>41</xdr:row>
      <xdr:rowOff>1278075</xdr:rowOff>
    </xdr:to>
    <xdr:pic>
      <xdr:nvPicPr>
        <xdr:cNvPr id="3" name="Picture 2"/>
        <xdr:cNvPicPr>
          <a:picLocks noChangeAspect="1"/>
        </xdr:cNvPicPr>
      </xdr:nvPicPr>
      <xdr:blipFill>
        <a:blip xmlns:r="http://schemas.openxmlformats.org/officeDocument/2006/relationships" r:embed="rId2"/>
        <a:stretch>
          <a:fillRect/>
        </a:stretch>
      </xdr:blipFill>
      <xdr:spPr>
        <a:xfrm>
          <a:off x="423333" y="11726333"/>
          <a:ext cx="6293556" cy="1038186"/>
        </a:xfrm>
        <a:prstGeom prst="rect">
          <a:avLst/>
        </a:prstGeom>
      </xdr:spPr>
    </xdr:pic>
    <xdr:clientData/>
  </xdr:twoCellAnchor>
  <xdr:twoCellAnchor editAs="oneCell">
    <xdr:from>
      <xdr:col>0</xdr:col>
      <xdr:colOff>366888</xdr:colOff>
      <xdr:row>43</xdr:row>
      <xdr:rowOff>804333</xdr:rowOff>
    </xdr:from>
    <xdr:to>
      <xdr:col>12</xdr:col>
      <xdr:colOff>56444</xdr:colOff>
      <xdr:row>43</xdr:row>
      <xdr:rowOff>2035154</xdr:rowOff>
    </xdr:to>
    <xdr:pic>
      <xdr:nvPicPr>
        <xdr:cNvPr id="4" name="Picture 3"/>
        <xdr:cNvPicPr>
          <a:picLocks noChangeAspect="1"/>
        </xdr:cNvPicPr>
      </xdr:nvPicPr>
      <xdr:blipFill>
        <a:blip xmlns:r="http://schemas.openxmlformats.org/officeDocument/2006/relationships" r:embed="rId3"/>
        <a:stretch>
          <a:fillRect/>
        </a:stretch>
      </xdr:blipFill>
      <xdr:spPr>
        <a:xfrm>
          <a:off x="366888" y="19092333"/>
          <a:ext cx="7055556" cy="1230821"/>
        </a:xfrm>
        <a:prstGeom prst="rect">
          <a:avLst/>
        </a:prstGeom>
      </xdr:spPr>
    </xdr:pic>
    <xdr:clientData/>
  </xdr:twoCellAnchor>
  <xdr:twoCellAnchor editAs="oneCell">
    <xdr:from>
      <xdr:col>0</xdr:col>
      <xdr:colOff>606778</xdr:colOff>
      <xdr:row>46</xdr:row>
      <xdr:rowOff>141111</xdr:rowOff>
    </xdr:from>
    <xdr:to>
      <xdr:col>4</xdr:col>
      <xdr:colOff>19149</xdr:colOff>
      <xdr:row>46</xdr:row>
      <xdr:rowOff>909500</xdr:rowOff>
    </xdr:to>
    <xdr:pic>
      <xdr:nvPicPr>
        <xdr:cNvPr id="5" name="Picture 4"/>
        <xdr:cNvPicPr>
          <a:picLocks noChangeAspect="1"/>
        </xdr:cNvPicPr>
      </xdr:nvPicPr>
      <xdr:blipFill>
        <a:blip xmlns:r="http://schemas.openxmlformats.org/officeDocument/2006/relationships" r:embed="rId4"/>
        <a:stretch>
          <a:fillRect/>
        </a:stretch>
      </xdr:blipFill>
      <xdr:spPr>
        <a:xfrm>
          <a:off x="606778" y="30226000"/>
          <a:ext cx="1924149" cy="7683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zoomScale="45" zoomScaleNormal="45" workbookViewId="0">
      <selection activeCell="X3" sqref="X3"/>
    </sheetView>
  </sheetViews>
  <sheetFormatPr defaultRowHeight="14.4" x14ac:dyDescent="0.3"/>
  <cols>
    <col min="1" max="1" width="9.77734375" customWidth="1"/>
    <col min="17" max="17" width="11.44140625" customWidth="1"/>
    <col min="18" max="18" width="10.77734375" customWidth="1"/>
  </cols>
  <sheetData>
    <row r="1" spans="1:18" s="156" customFormat="1" ht="23.4" x14ac:dyDescent="0.45">
      <c r="A1" s="169" t="s">
        <v>128</v>
      </c>
      <c r="B1" s="169"/>
      <c r="C1" s="169"/>
      <c r="D1" s="169"/>
      <c r="E1" s="169"/>
      <c r="F1" s="169"/>
      <c r="G1" s="169"/>
      <c r="H1" s="169"/>
      <c r="I1" s="169"/>
      <c r="J1" s="169"/>
      <c r="K1" s="169"/>
      <c r="L1" s="169"/>
      <c r="M1" s="169"/>
      <c r="N1" s="169"/>
      <c r="O1" s="169"/>
      <c r="P1" s="169"/>
      <c r="Q1" s="169"/>
      <c r="R1" s="169"/>
    </row>
    <row r="2" spans="1:18" ht="28.05" customHeight="1" x14ac:dyDescent="0.3">
      <c r="A2" s="170" t="s">
        <v>120</v>
      </c>
      <c r="B2" s="170"/>
      <c r="C2" s="170"/>
      <c r="D2" s="170"/>
      <c r="E2" s="170"/>
      <c r="F2" s="170"/>
      <c r="G2" s="170"/>
      <c r="H2" s="170"/>
      <c r="I2" s="170"/>
      <c r="J2" s="170"/>
      <c r="K2" s="170"/>
      <c r="L2" s="170"/>
      <c r="M2" s="170"/>
      <c r="N2" s="170"/>
      <c r="O2" s="170"/>
      <c r="P2" s="170"/>
      <c r="Q2" s="170"/>
      <c r="R2" s="170"/>
    </row>
    <row r="3" spans="1:18" ht="274.5" customHeight="1" x14ac:dyDescent="0.3">
      <c r="A3" s="172" t="s">
        <v>121</v>
      </c>
      <c r="B3" s="172"/>
      <c r="C3" s="172"/>
      <c r="D3" s="172"/>
      <c r="E3" s="172"/>
      <c r="F3" s="172"/>
      <c r="G3" s="172"/>
      <c r="H3" s="172"/>
      <c r="I3" s="172"/>
      <c r="J3" s="172"/>
      <c r="K3" s="172"/>
      <c r="L3" s="172"/>
      <c r="M3" s="172"/>
      <c r="N3" s="172"/>
      <c r="O3" s="172"/>
      <c r="P3" s="172"/>
      <c r="Q3" s="172"/>
      <c r="R3" s="172"/>
    </row>
    <row r="4" spans="1:18" x14ac:dyDescent="0.3">
      <c r="A4" s="171"/>
      <c r="B4" s="171"/>
      <c r="C4" s="171"/>
      <c r="D4" s="171"/>
      <c r="E4" s="171"/>
      <c r="F4" s="171"/>
      <c r="G4" s="171"/>
      <c r="H4" s="171"/>
      <c r="I4" s="171"/>
      <c r="J4" s="171"/>
      <c r="K4" s="171"/>
      <c r="L4" s="171"/>
      <c r="M4" s="171"/>
      <c r="N4" s="171"/>
      <c r="O4" s="171"/>
      <c r="P4" s="171"/>
      <c r="Q4" s="171"/>
      <c r="R4" s="171"/>
    </row>
    <row r="5" spans="1:18" x14ac:dyDescent="0.3">
      <c r="A5" s="171"/>
      <c r="B5" s="171"/>
      <c r="C5" s="171"/>
      <c r="D5" s="171"/>
      <c r="E5" s="171"/>
      <c r="F5" s="171"/>
      <c r="G5" s="171"/>
      <c r="H5" s="171"/>
      <c r="I5" s="171"/>
      <c r="J5" s="171"/>
      <c r="K5" s="171"/>
      <c r="L5" s="171"/>
      <c r="M5" s="171"/>
      <c r="N5" s="171"/>
      <c r="O5" s="171"/>
      <c r="P5" s="171"/>
      <c r="Q5" s="171"/>
      <c r="R5" s="171"/>
    </row>
    <row r="6" spans="1:18" x14ac:dyDescent="0.3">
      <c r="A6" s="171"/>
      <c r="B6" s="171"/>
      <c r="C6" s="171"/>
      <c r="D6" s="171"/>
      <c r="E6" s="171"/>
      <c r="F6" s="171"/>
      <c r="G6" s="171"/>
      <c r="H6" s="171"/>
      <c r="I6" s="171"/>
      <c r="J6" s="171"/>
      <c r="K6" s="171"/>
      <c r="L6" s="171"/>
      <c r="M6" s="171"/>
      <c r="N6" s="171"/>
      <c r="O6" s="171"/>
      <c r="P6" s="171"/>
      <c r="Q6" s="171"/>
      <c r="R6" s="171"/>
    </row>
    <row r="7" spans="1:18" x14ac:dyDescent="0.3">
      <c r="A7" s="171"/>
      <c r="B7" s="171"/>
      <c r="C7" s="171"/>
      <c r="D7" s="171"/>
      <c r="E7" s="171"/>
      <c r="F7" s="171"/>
      <c r="G7" s="171"/>
      <c r="H7" s="171"/>
      <c r="I7" s="171"/>
      <c r="J7" s="171"/>
      <c r="K7" s="171"/>
      <c r="L7" s="171"/>
      <c r="M7" s="171"/>
      <c r="N7" s="171"/>
      <c r="O7" s="171"/>
      <c r="P7" s="171"/>
      <c r="Q7" s="171"/>
      <c r="R7" s="171"/>
    </row>
    <row r="8" spans="1:18" x14ac:dyDescent="0.3">
      <c r="A8" s="171"/>
      <c r="B8" s="171"/>
      <c r="C8" s="171"/>
      <c r="D8" s="171"/>
      <c r="E8" s="171"/>
      <c r="F8" s="171"/>
      <c r="G8" s="171"/>
      <c r="H8" s="171"/>
      <c r="I8" s="171"/>
      <c r="J8" s="171"/>
      <c r="K8" s="171"/>
      <c r="L8" s="171"/>
      <c r="M8" s="171"/>
      <c r="N8" s="171"/>
      <c r="O8" s="171"/>
      <c r="P8" s="171"/>
      <c r="Q8" s="171"/>
      <c r="R8" s="171"/>
    </row>
    <row r="9" spans="1:18" x14ac:dyDescent="0.3">
      <c r="A9" s="171"/>
      <c r="B9" s="171"/>
      <c r="C9" s="171"/>
      <c r="D9" s="171"/>
      <c r="E9" s="171"/>
      <c r="F9" s="171"/>
      <c r="G9" s="171"/>
      <c r="H9" s="171"/>
      <c r="I9" s="171"/>
      <c r="J9" s="171"/>
      <c r="K9" s="171"/>
      <c r="L9" s="171"/>
      <c r="M9" s="171"/>
      <c r="N9" s="171"/>
      <c r="O9" s="171"/>
      <c r="P9" s="171"/>
      <c r="Q9" s="171"/>
      <c r="R9" s="171"/>
    </row>
    <row r="10" spans="1:18" x14ac:dyDescent="0.3">
      <c r="A10" s="171"/>
      <c r="B10" s="171"/>
      <c r="C10" s="171"/>
      <c r="D10" s="171"/>
      <c r="E10" s="171"/>
      <c r="F10" s="171"/>
      <c r="G10" s="171"/>
      <c r="H10" s="171"/>
      <c r="I10" s="171"/>
      <c r="J10" s="171"/>
      <c r="K10" s="171"/>
      <c r="L10" s="171"/>
      <c r="M10" s="171"/>
      <c r="N10" s="171"/>
      <c r="O10" s="171"/>
      <c r="P10" s="171"/>
      <c r="Q10" s="171"/>
      <c r="R10" s="171"/>
    </row>
    <row r="11" spans="1:18" x14ac:dyDescent="0.3">
      <c r="A11" s="171"/>
      <c r="B11" s="171"/>
      <c r="C11" s="171"/>
      <c r="D11" s="171"/>
      <c r="E11" s="171"/>
      <c r="F11" s="171"/>
      <c r="G11" s="171"/>
      <c r="H11" s="171"/>
      <c r="I11" s="171"/>
      <c r="J11" s="171"/>
      <c r="K11" s="171"/>
      <c r="L11" s="171"/>
      <c r="M11" s="171"/>
      <c r="N11" s="171"/>
      <c r="O11" s="171"/>
      <c r="P11" s="171"/>
      <c r="Q11" s="171"/>
      <c r="R11" s="171"/>
    </row>
    <row r="12" spans="1:18" x14ac:dyDescent="0.3">
      <c r="A12" s="171"/>
      <c r="B12" s="171"/>
      <c r="C12" s="171"/>
      <c r="D12" s="171"/>
      <c r="E12" s="171"/>
      <c r="F12" s="171"/>
      <c r="G12" s="171"/>
      <c r="H12" s="171"/>
      <c r="I12" s="171"/>
      <c r="J12" s="171"/>
      <c r="K12" s="171"/>
      <c r="L12" s="171"/>
      <c r="M12" s="171"/>
      <c r="N12" s="171"/>
      <c r="O12" s="171"/>
      <c r="P12" s="171"/>
      <c r="Q12" s="171"/>
      <c r="R12" s="171"/>
    </row>
    <row r="13" spans="1:18" x14ac:dyDescent="0.3">
      <c r="A13" s="171"/>
      <c r="B13" s="171"/>
      <c r="C13" s="171"/>
      <c r="D13" s="171"/>
      <c r="E13" s="171"/>
      <c r="F13" s="171"/>
      <c r="G13" s="171"/>
      <c r="H13" s="171"/>
      <c r="I13" s="171"/>
      <c r="J13" s="171"/>
      <c r="K13" s="171"/>
      <c r="L13" s="171"/>
      <c r="M13" s="171"/>
      <c r="N13" s="171"/>
      <c r="O13" s="171"/>
      <c r="P13" s="171"/>
      <c r="Q13" s="171"/>
      <c r="R13" s="171"/>
    </row>
    <row r="14" spans="1:18" x14ac:dyDescent="0.3">
      <c r="A14" s="171"/>
      <c r="B14" s="171"/>
      <c r="C14" s="171"/>
      <c r="D14" s="171"/>
      <c r="E14" s="171"/>
      <c r="F14" s="171"/>
      <c r="G14" s="171"/>
      <c r="H14" s="171"/>
      <c r="I14" s="171"/>
      <c r="J14" s="171"/>
      <c r="K14" s="171"/>
      <c r="L14" s="171"/>
      <c r="M14" s="171"/>
      <c r="N14" s="171"/>
      <c r="O14" s="171"/>
      <c r="P14" s="171"/>
      <c r="Q14" s="171"/>
      <c r="R14" s="171"/>
    </row>
    <row r="15" spans="1:18" x14ac:dyDescent="0.3">
      <c r="A15" s="171"/>
      <c r="B15" s="171"/>
      <c r="C15" s="171"/>
      <c r="D15" s="171"/>
      <c r="E15" s="171"/>
      <c r="F15" s="171"/>
      <c r="G15" s="171"/>
      <c r="H15" s="171"/>
      <c r="I15" s="171"/>
      <c r="J15" s="171"/>
      <c r="K15" s="171"/>
      <c r="L15" s="171"/>
      <c r="M15" s="171"/>
      <c r="N15" s="171"/>
      <c r="O15" s="171"/>
      <c r="P15" s="171"/>
      <c r="Q15" s="171"/>
      <c r="R15" s="171"/>
    </row>
    <row r="16" spans="1:18" x14ac:dyDescent="0.3">
      <c r="A16" s="171"/>
      <c r="B16" s="171"/>
      <c r="C16" s="171"/>
      <c r="D16" s="171"/>
      <c r="E16" s="171"/>
      <c r="F16" s="171"/>
      <c r="G16" s="171"/>
      <c r="H16" s="171"/>
      <c r="I16" s="171"/>
      <c r="J16" s="171"/>
      <c r="K16" s="171"/>
      <c r="L16" s="171"/>
      <c r="M16" s="171"/>
      <c r="N16" s="171"/>
      <c r="O16" s="171"/>
      <c r="P16" s="171"/>
      <c r="Q16" s="171"/>
      <c r="R16" s="171"/>
    </row>
    <row r="17" spans="1:18" x14ac:dyDescent="0.3">
      <c r="A17" s="171"/>
      <c r="B17" s="171"/>
      <c r="C17" s="171"/>
      <c r="D17" s="171"/>
      <c r="E17" s="171"/>
      <c r="F17" s="171"/>
      <c r="G17" s="171"/>
      <c r="H17" s="171"/>
      <c r="I17" s="171"/>
      <c r="J17" s="171"/>
      <c r="K17" s="171"/>
      <c r="L17" s="171"/>
      <c r="M17" s="171"/>
      <c r="N17" s="171"/>
      <c r="O17" s="171"/>
      <c r="P17" s="171"/>
      <c r="Q17" s="171"/>
      <c r="R17" s="171"/>
    </row>
    <row r="18" spans="1:18" x14ac:dyDescent="0.3">
      <c r="A18" s="171"/>
      <c r="B18" s="171"/>
      <c r="C18" s="171"/>
      <c r="D18" s="171"/>
      <c r="E18" s="171"/>
      <c r="F18" s="171"/>
      <c r="G18" s="171"/>
      <c r="H18" s="171"/>
      <c r="I18" s="171"/>
      <c r="J18" s="171"/>
      <c r="K18" s="171"/>
      <c r="L18" s="171"/>
      <c r="M18" s="171"/>
      <c r="N18" s="171"/>
      <c r="O18" s="171"/>
      <c r="P18" s="171"/>
      <c r="Q18" s="171"/>
      <c r="R18" s="171"/>
    </row>
    <row r="19" spans="1:18" x14ac:dyDescent="0.3">
      <c r="A19" s="171"/>
      <c r="B19" s="171"/>
      <c r="C19" s="171"/>
      <c r="D19" s="171"/>
      <c r="E19" s="171"/>
      <c r="F19" s="171"/>
      <c r="G19" s="171"/>
      <c r="H19" s="171"/>
      <c r="I19" s="171"/>
      <c r="J19" s="171"/>
      <c r="K19" s="171"/>
      <c r="L19" s="171"/>
      <c r="M19" s="171"/>
      <c r="N19" s="171"/>
      <c r="O19" s="171"/>
      <c r="P19" s="171"/>
      <c r="Q19" s="171"/>
      <c r="R19" s="171"/>
    </row>
    <row r="20" spans="1:18" x14ac:dyDescent="0.3">
      <c r="A20" s="171"/>
      <c r="B20" s="171"/>
      <c r="C20" s="171"/>
      <c r="D20" s="171"/>
      <c r="E20" s="171"/>
      <c r="F20" s="171"/>
      <c r="G20" s="171"/>
      <c r="H20" s="171"/>
      <c r="I20" s="171"/>
      <c r="J20" s="171"/>
      <c r="K20" s="171"/>
      <c r="L20" s="171"/>
      <c r="M20" s="171"/>
      <c r="N20" s="171"/>
      <c r="O20" s="171"/>
      <c r="P20" s="171"/>
      <c r="Q20" s="171"/>
      <c r="R20" s="171"/>
    </row>
    <row r="21" spans="1:18" x14ac:dyDescent="0.3">
      <c r="A21" s="171"/>
      <c r="B21" s="171"/>
      <c r="C21" s="171"/>
      <c r="D21" s="171"/>
      <c r="E21" s="171"/>
      <c r="F21" s="171"/>
      <c r="G21" s="171"/>
      <c r="H21" s="171"/>
      <c r="I21" s="171"/>
      <c r="J21" s="171"/>
      <c r="K21" s="171"/>
      <c r="L21" s="171"/>
      <c r="M21" s="171"/>
      <c r="N21" s="171"/>
      <c r="O21" s="171"/>
      <c r="P21" s="171"/>
      <c r="Q21" s="171"/>
      <c r="R21" s="171"/>
    </row>
    <row r="22" spans="1:18" x14ac:dyDescent="0.3">
      <c r="A22" s="171"/>
      <c r="B22" s="171"/>
      <c r="C22" s="171"/>
      <c r="D22" s="171"/>
      <c r="E22" s="171"/>
      <c r="F22" s="171"/>
      <c r="G22" s="171"/>
      <c r="H22" s="171"/>
      <c r="I22" s="171"/>
      <c r="J22" s="171"/>
      <c r="K22" s="171"/>
      <c r="L22" s="171"/>
      <c r="M22" s="171"/>
      <c r="N22" s="171"/>
      <c r="O22" s="171"/>
      <c r="P22" s="171"/>
      <c r="Q22" s="171"/>
      <c r="R22" s="171"/>
    </row>
    <row r="23" spans="1:18" x14ac:dyDescent="0.3">
      <c r="A23" s="171"/>
      <c r="B23" s="171"/>
      <c r="C23" s="171"/>
      <c r="D23" s="171"/>
      <c r="E23" s="171"/>
      <c r="F23" s="171"/>
      <c r="G23" s="171"/>
      <c r="H23" s="171"/>
      <c r="I23" s="171"/>
      <c r="J23" s="171"/>
      <c r="K23" s="171"/>
      <c r="L23" s="171"/>
      <c r="M23" s="171"/>
      <c r="N23" s="171"/>
      <c r="O23" s="171"/>
      <c r="P23" s="171"/>
      <c r="Q23" s="171"/>
      <c r="R23" s="171"/>
    </row>
    <row r="24" spans="1:18" x14ac:dyDescent="0.3">
      <c r="A24" s="171"/>
      <c r="B24" s="171"/>
      <c r="C24" s="171"/>
      <c r="D24" s="171"/>
      <c r="E24" s="171"/>
      <c r="F24" s="171"/>
      <c r="G24" s="171"/>
      <c r="H24" s="171"/>
      <c r="I24" s="171"/>
      <c r="J24" s="171"/>
      <c r="K24" s="171"/>
      <c r="L24" s="171"/>
      <c r="M24" s="171"/>
      <c r="N24" s="171"/>
      <c r="O24" s="171"/>
      <c r="P24" s="171"/>
      <c r="Q24" s="171"/>
      <c r="R24" s="171"/>
    </row>
    <row r="25" spans="1:18" x14ac:dyDescent="0.3">
      <c r="A25" s="171"/>
      <c r="B25" s="171"/>
      <c r="C25" s="171"/>
      <c r="D25" s="171"/>
      <c r="E25" s="171"/>
      <c r="F25" s="171"/>
      <c r="G25" s="171"/>
      <c r="H25" s="171"/>
      <c r="I25" s="171"/>
      <c r="J25" s="171"/>
      <c r="K25" s="171"/>
      <c r="L25" s="171"/>
      <c r="M25" s="171"/>
      <c r="N25" s="171"/>
      <c r="O25" s="171"/>
      <c r="P25" s="171"/>
      <c r="Q25" s="171"/>
      <c r="R25" s="171"/>
    </row>
    <row r="26" spans="1:18" x14ac:dyDescent="0.3">
      <c r="A26" s="171"/>
      <c r="B26" s="171"/>
      <c r="C26" s="171"/>
      <c r="D26" s="171"/>
      <c r="E26" s="171"/>
      <c r="F26" s="171"/>
      <c r="G26" s="171"/>
      <c r="H26" s="171"/>
      <c r="I26" s="171"/>
      <c r="J26" s="171"/>
      <c r="K26" s="171"/>
      <c r="L26" s="171"/>
      <c r="M26" s="171"/>
      <c r="N26" s="171"/>
      <c r="O26" s="171"/>
      <c r="P26" s="171"/>
      <c r="Q26" s="171"/>
      <c r="R26" s="171"/>
    </row>
    <row r="27" spans="1:18" x14ac:dyDescent="0.3">
      <c r="A27" s="171"/>
      <c r="B27" s="171"/>
      <c r="C27" s="171"/>
      <c r="D27" s="171"/>
      <c r="E27" s="171"/>
      <c r="F27" s="171"/>
      <c r="G27" s="171"/>
      <c r="H27" s="171"/>
      <c r="I27" s="171"/>
      <c r="J27" s="171"/>
      <c r="K27" s="171"/>
      <c r="L27" s="171"/>
      <c r="M27" s="171"/>
      <c r="N27" s="171"/>
      <c r="O27" s="171"/>
      <c r="P27" s="171"/>
      <c r="Q27" s="171"/>
      <c r="R27" s="171"/>
    </row>
    <row r="28" spans="1:18" x14ac:dyDescent="0.3">
      <c r="A28" s="171"/>
      <c r="B28" s="171"/>
      <c r="C28" s="171"/>
      <c r="D28" s="171"/>
      <c r="E28" s="171"/>
      <c r="F28" s="171"/>
      <c r="G28" s="171"/>
      <c r="H28" s="171"/>
      <c r="I28" s="171"/>
      <c r="J28" s="171"/>
      <c r="K28" s="171"/>
      <c r="L28" s="171"/>
      <c r="M28" s="171"/>
      <c r="N28" s="171"/>
      <c r="O28" s="171"/>
      <c r="P28" s="171"/>
      <c r="Q28" s="171"/>
      <c r="R28" s="171"/>
    </row>
    <row r="29" spans="1:18" x14ac:dyDescent="0.3">
      <c r="A29" s="171"/>
      <c r="B29" s="171"/>
      <c r="C29" s="171"/>
      <c r="D29" s="171"/>
      <c r="E29" s="171"/>
      <c r="F29" s="171"/>
      <c r="G29" s="171"/>
      <c r="H29" s="171"/>
      <c r="I29" s="171"/>
      <c r="J29" s="171"/>
      <c r="K29" s="171"/>
      <c r="L29" s="171"/>
      <c r="M29" s="171"/>
      <c r="N29" s="171"/>
      <c r="O29" s="171"/>
      <c r="P29" s="171"/>
      <c r="Q29" s="171"/>
      <c r="R29" s="171"/>
    </row>
    <row r="30" spans="1:18" x14ac:dyDescent="0.3">
      <c r="A30" s="171"/>
      <c r="B30" s="171"/>
      <c r="C30" s="171"/>
      <c r="D30" s="171"/>
      <c r="E30" s="171"/>
      <c r="F30" s="171"/>
      <c r="G30" s="171"/>
      <c r="H30" s="171"/>
      <c r="I30" s="171"/>
      <c r="J30" s="171"/>
      <c r="K30" s="171"/>
      <c r="L30" s="171"/>
      <c r="M30" s="171"/>
      <c r="N30" s="171"/>
      <c r="O30" s="171"/>
      <c r="P30" s="171"/>
      <c r="Q30" s="171"/>
      <c r="R30" s="171"/>
    </row>
    <row r="31" spans="1:18" x14ac:dyDescent="0.3">
      <c r="A31" s="171"/>
      <c r="B31" s="171"/>
      <c r="C31" s="171"/>
      <c r="D31" s="171"/>
      <c r="E31" s="171"/>
      <c r="F31" s="171"/>
      <c r="G31" s="171"/>
      <c r="H31" s="171"/>
      <c r="I31" s="171"/>
      <c r="J31" s="171"/>
      <c r="K31" s="171"/>
      <c r="L31" s="171"/>
      <c r="M31" s="171"/>
      <c r="N31" s="171"/>
      <c r="O31" s="171"/>
      <c r="P31" s="171"/>
      <c r="Q31" s="171"/>
      <c r="R31" s="171"/>
    </row>
    <row r="32" spans="1:18" x14ac:dyDescent="0.3">
      <c r="A32" s="171"/>
      <c r="B32" s="171"/>
      <c r="C32" s="171"/>
      <c r="D32" s="171"/>
      <c r="E32" s="171"/>
      <c r="F32" s="171"/>
      <c r="G32" s="171"/>
      <c r="H32" s="171"/>
      <c r="I32" s="171"/>
      <c r="J32" s="171"/>
      <c r="K32" s="171"/>
      <c r="L32" s="171"/>
      <c r="M32" s="171"/>
      <c r="N32" s="171"/>
      <c r="O32" s="171"/>
      <c r="P32" s="171"/>
      <c r="Q32" s="171"/>
      <c r="R32" s="171"/>
    </row>
    <row r="33" spans="1:18" x14ac:dyDescent="0.3">
      <c r="A33" s="171"/>
      <c r="B33" s="171"/>
      <c r="C33" s="171"/>
      <c r="D33" s="171"/>
      <c r="E33" s="171"/>
      <c r="F33" s="171"/>
      <c r="G33" s="171"/>
      <c r="H33" s="171"/>
      <c r="I33" s="171"/>
      <c r="J33" s="171"/>
      <c r="K33" s="171"/>
      <c r="L33" s="171"/>
      <c r="M33" s="171"/>
      <c r="N33" s="171"/>
      <c r="O33" s="171"/>
      <c r="P33" s="171"/>
      <c r="Q33" s="171"/>
      <c r="R33" s="171"/>
    </row>
    <row r="34" spans="1:18" x14ac:dyDescent="0.3">
      <c r="A34" s="171"/>
      <c r="B34" s="171"/>
      <c r="C34" s="171"/>
      <c r="D34" s="171"/>
      <c r="E34" s="171"/>
      <c r="F34" s="171"/>
      <c r="G34" s="171"/>
      <c r="H34" s="171"/>
      <c r="I34" s="171"/>
      <c r="J34" s="171"/>
      <c r="K34" s="171"/>
      <c r="L34" s="171"/>
      <c r="M34" s="171"/>
      <c r="N34" s="171"/>
      <c r="O34" s="171"/>
      <c r="P34" s="171"/>
      <c r="Q34" s="171"/>
      <c r="R34" s="171"/>
    </row>
    <row r="35" spans="1:18" x14ac:dyDescent="0.3">
      <c r="A35" s="171"/>
      <c r="B35" s="171"/>
      <c r="C35" s="171"/>
      <c r="D35" s="171"/>
      <c r="E35" s="171"/>
      <c r="F35" s="171"/>
      <c r="G35" s="171"/>
      <c r="H35" s="171"/>
      <c r="I35" s="171"/>
      <c r="J35" s="171"/>
      <c r="K35" s="171"/>
      <c r="L35" s="171"/>
      <c r="M35" s="171"/>
      <c r="N35" s="171"/>
      <c r="O35" s="171"/>
      <c r="P35" s="171"/>
      <c r="Q35" s="171"/>
      <c r="R35" s="171"/>
    </row>
    <row r="36" spans="1:18" x14ac:dyDescent="0.3">
      <c r="A36" s="171"/>
      <c r="B36" s="171"/>
      <c r="C36" s="171"/>
      <c r="D36" s="171"/>
      <c r="E36" s="171"/>
      <c r="F36" s="171"/>
      <c r="G36" s="171"/>
      <c r="H36" s="171"/>
      <c r="I36" s="171"/>
      <c r="J36" s="171"/>
      <c r="K36" s="171"/>
      <c r="L36" s="171"/>
      <c r="M36" s="171"/>
      <c r="N36" s="171"/>
      <c r="O36" s="171"/>
      <c r="P36" s="171"/>
      <c r="Q36" s="171"/>
      <c r="R36" s="171"/>
    </row>
    <row r="37" spans="1:18" x14ac:dyDescent="0.3">
      <c r="A37" s="171"/>
      <c r="B37" s="171"/>
      <c r="C37" s="171"/>
      <c r="D37" s="171"/>
      <c r="E37" s="171"/>
      <c r="F37" s="171"/>
      <c r="G37" s="171"/>
      <c r="H37" s="171"/>
      <c r="I37" s="171"/>
      <c r="J37" s="171"/>
      <c r="K37" s="171"/>
      <c r="L37" s="171"/>
      <c r="M37" s="171"/>
      <c r="N37" s="171"/>
      <c r="O37" s="171"/>
      <c r="P37" s="171"/>
      <c r="Q37" s="171"/>
      <c r="R37" s="171"/>
    </row>
    <row r="38" spans="1:18" x14ac:dyDescent="0.3">
      <c r="A38" s="171"/>
      <c r="B38" s="171"/>
      <c r="C38" s="171"/>
      <c r="D38" s="171"/>
      <c r="E38" s="171"/>
      <c r="F38" s="171"/>
      <c r="G38" s="171"/>
      <c r="H38" s="171"/>
      <c r="I38" s="171"/>
      <c r="J38" s="171"/>
      <c r="K38" s="171"/>
      <c r="L38" s="171"/>
      <c r="M38" s="171"/>
      <c r="N38" s="171"/>
      <c r="O38" s="171"/>
      <c r="P38" s="171"/>
      <c r="Q38" s="171"/>
      <c r="R38" s="171"/>
    </row>
    <row r="39" spans="1:18" x14ac:dyDescent="0.3">
      <c r="A39" s="171"/>
      <c r="B39" s="171"/>
      <c r="C39" s="171"/>
      <c r="D39" s="171"/>
      <c r="E39" s="171"/>
      <c r="F39" s="171"/>
      <c r="G39" s="171"/>
      <c r="H39" s="171"/>
      <c r="I39" s="171"/>
      <c r="J39" s="171"/>
      <c r="K39" s="171"/>
      <c r="L39" s="171"/>
      <c r="M39" s="171"/>
      <c r="N39" s="171"/>
      <c r="O39" s="171"/>
      <c r="P39" s="171"/>
      <c r="Q39" s="171"/>
      <c r="R39" s="171"/>
    </row>
    <row r="40" spans="1:18" x14ac:dyDescent="0.3">
      <c r="A40" s="171"/>
      <c r="B40" s="171"/>
      <c r="C40" s="171"/>
      <c r="D40" s="171"/>
      <c r="E40" s="171"/>
      <c r="F40" s="171"/>
      <c r="G40" s="171"/>
      <c r="H40" s="171"/>
      <c r="I40" s="171"/>
      <c r="J40" s="171"/>
      <c r="K40" s="171"/>
      <c r="L40" s="171"/>
      <c r="M40" s="171"/>
      <c r="N40" s="171"/>
      <c r="O40" s="171"/>
      <c r="P40" s="171"/>
      <c r="Q40" s="171"/>
      <c r="R40" s="171"/>
    </row>
    <row r="41" spans="1:18" ht="67.5" customHeight="1" x14ac:dyDescent="0.3">
      <c r="A41" s="171" t="s">
        <v>122</v>
      </c>
      <c r="B41" s="171"/>
      <c r="C41" s="171"/>
      <c r="D41" s="171"/>
      <c r="E41" s="171"/>
      <c r="F41" s="171"/>
      <c r="G41" s="171"/>
      <c r="H41" s="171"/>
      <c r="I41" s="171"/>
      <c r="J41" s="171"/>
      <c r="K41" s="171"/>
      <c r="L41" s="171"/>
      <c r="M41" s="171"/>
      <c r="N41" s="171"/>
      <c r="O41" s="171"/>
      <c r="P41" s="171"/>
      <c r="Q41" s="171"/>
      <c r="R41" s="171"/>
    </row>
    <row r="42" spans="1:18" ht="127.05" customHeight="1" x14ac:dyDescent="0.3">
      <c r="A42" s="171"/>
      <c r="B42" s="171"/>
      <c r="C42" s="171"/>
      <c r="D42" s="171"/>
      <c r="E42" s="171"/>
      <c r="F42" s="171"/>
      <c r="G42" s="171"/>
      <c r="H42" s="171"/>
      <c r="I42" s="171"/>
      <c r="J42" s="171"/>
      <c r="K42" s="171"/>
      <c r="L42" s="171"/>
      <c r="M42" s="171"/>
      <c r="N42" s="171"/>
      <c r="O42" s="171"/>
      <c r="P42" s="171"/>
      <c r="Q42" s="171"/>
      <c r="R42" s="171"/>
    </row>
    <row r="43" spans="1:18" ht="409.05" customHeight="1" x14ac:dyDescent="0.3">
      <c r="A43" s="172" t="s">
        <v>123</v>
      </c>
      <c r="B43" s="172"/>
      <c r="C43" s="172"/>
      <c r="D43" s="172"/>
      <c r="E43" s="172"/>
      <c r="F43" s="172"/>
      <c r="G43" s="172"/>
      <c r="H43" s="172"/>
      <c r="I43" s="172"/>
      <c r="J43" s="172"/>
      <c r="K43" s="172"/>
      <c r="L43" s="172"/>
      <c r="M43" s="172"/>
      <c r="N43" s="172"/>
      <c r="O43" s="172"/>
      <c r="P43" s="172"/>
      <c r="Q43" s="172"/>
      <c r="R43" s="172"/>
    </row>
    <row r="44" spans="1:18" ht="178.05" customHeight="1" x14ac:dyDescent="0.3">
      <c r="A44" s="172" t="s">
        <v>124</v>
      </c>
      <c r="B44" s="172"/>
      <c r="C44" s="172"/>
      <c r="D44" s="172"/>
      <c r="E44" s="172"/>
      <c r="F44" s="172"/>
      <c r="G44" s="172"/>
      <c r="H44" s="172"/>
      <c r="I44" s="172"/>
      <c r="J44" s="172"/>
      <c r="K44" s="172"/>
      <c r="L44" s="172"/>
      <c r="M44" s="172"/>
      <c r="N44" s="172"/>
      <c r="O44" s="172"/>
      <c r="P44" s="172"/>
      <c r="Q44" s="172"/>
      <c r="R44" s="172"/>
    </row>
    <row r="45" spans="1:18" ht="409.6" customHeight="1" x14ac:dyDescent="0.3">
      <c r="A45" s="172" t="s">
        <v>125</v>
      </c>
      <c r="B45" s="172"/>
      <c r="C45" s="172"/>
      <c r="D45" s="172"/>
      <c r="E45" s="172"/>
      <c r="F45" s="172"/>
      <c r="G45" s="172"/>
      <c r="H45" s="172"/>
      <c r="I45" s="172"/>
      <c r="J45" s="172"/>
      <c r="K45" s="172"/>
      <c r="L45" s="172"/>
      <c r="M45" s="172"/>
      <c r="N45" s="172"/>
      <c r="O45" s="172"/>
      <c r="P45" s="172"/>
      <c r="Q45" s="172"/>
      <c r="R45" s="172"/>
    </row>
    <row r="46" spans="1:18" ht="341.55" customHeight="1" x14ac:dyDescent="0.3">
      <c r="A46" s="172" t="s">
        <v>126</v>
      </c>
      <c r="B46" s="172"/>
      <c r="C46" s="172"/>
      <c r="D46" s="172"/>
      <c r="E46" s="172"/>
      <c r="F46" s="172"/>
      <c r="G46" s="172"/>
      <c r="H46" s="172"/>
      <c r="I46" s="172"/>
      <c r="J46" s="172"/>
      <c r="K46" s="172"/>
      <c r="L46" s="172"/>
      <c r="M46" s="172"/>
      <c r="N46" s="172"/>
      <c r="O46" s="172"/>
      <c r="P46" s="172"/>
      <c r="Q46" s="172"/>
      <c r="R46" s="172"/>
    </row>
    <row r="47" spans="1:18" ht="75.45" customHeight="1" x14ac:dyDescent="0.3">
      <c r="A47" s="173"/>
      <c r="B47" s="173"/>
      <c r="C47" s="173"/>
      <c r="D47" s="173"/>
      <c r="E47" s="173"/>
      <c r="F47" s="173"/>
      <c r="G47" s="173"/>
      <c r="H47" s="173"/>
      <c r="I47" s="173"/>
      <c r="J47" s="173"/>
      <c r="K47" s="173"/>
      <c r="L47" s="173"/>
      <c r="M47" s="173"/>
      <c r="N47" s="173"/>
      <c r="O47" s="173"/>
      <c r="P47" s="173"/>
      <c r="Q47" s="173"/>
      <c r="R47" s="173"/>
    </row>
    <row r="48" spans="1:18" ht="300.45" customHeight="1" x14ac:dyDescent="0.3">
      <c r="A48" s="172" t="s">
        <v>127</v>
      </c>
      <c r="B48" s="172"/>
      <c r="C48" s="172"/>
      <c r="D48" s="172"/>
      <c r="E48" s="172"/>
      <c r="F48" s="172"/>
      <c r="G48" s="172"/>
      <c r="H48" s="172"/>
      <c r="I48" s="172"/>
      <c r="J48" s="172"/>
      <c r="K48" s="172"/>
      <c r="L48" s="172"/>
      <c r="M48" s="172"/>
      <c r="N48" s="172"/>
      <c r="O48" s="172"/>
      <c r="P48" s="172"/>
      <c r="Q48" s="172"/>
      <c r="R48" s="172"/>
    </row>
    <row r="49" spans="1:18" x14ac:dyDescent="0.3">
      <c r="A49" s="168"/>
      <c r="B49" s="168"/>
      <c r="C49" s="168"/>
      <c r="D49" s="168"/>
      <c r="E49" s="168"/>
      <c r="F49" s="168"/>
      <c r="G49" s="168"/>
      <c r="H49" s="168"/>
      <c r="I49" s="168"/>
      <c r="J49" s="168"/>
      <c r="K49" s="168"/>
      <c r="L49" s="168"/>
      <c r="M49" s="168"/>
      <c r="N49" s="168"/>
      <c r="O49" s="168"/>
      <c r="P49" s="168"/>
      <c r="Q49" s="168"/>
      <c r="R49" s="168"/>
    </row>
    <row r="50" spans="1:18" x14ac:dyDescent="0.3">
      <c r="A50" s="168"/>
      <c r="B50" s="168"/>
      <c r="C50" s="168"/>
      <c r="D50" s="168"/>
      <c r="E50" s="168"/>
      <c r="F50" s="168"/>
      <c r="G50" s="168"/>
      <c r="H50" s="168"/>
      <c r="I50" s="168"/>
      <c r="J50" s="168"/>
      <c r="K50" s="168"/>
      <c r="L50" s="168"/>
      <c r="M50" s="168"/>
      <c r="N50" s="168"/>
      <c r="O50" s="168"/>
      <c r="P50" s="168"/>
      <c r="Q50" s="168"/>
      <c r="R50" s="168"/>
    </row>
    <row r="51" spans="1:18" x14ac:dyDescent="0.3">
      <c r="A51" s="168"/>
      <c r="B51" s="168"/>
      <c r="C51" s="168"/>
      <c r="D51" s="168"/>
      <c r="E51" s="168"/>
      <c r="F51" s="168"/>
      <c r="G51" s="168"/>
      <c r="H51" s="168"/>
      <c r="I51" s="168"/>
      <c r="J51" s="168"/>
      <c r="K51" s="168"/>
      <c r="L51" s="168"/>
      <c r="M51" s="168"/>
      <c r="N51" s="168"/>
      <c r="O51" s="168"/>
      <c r="P51" s="168"/>
      <c r="Q51" s="168"/>
      <c r="R51" s="168"/>
    </row>
    <row r="52" spans="1:18" x14ac:dyDescent="0.3">
      <c r="A52" s="168"/>
      <c r="B52" s="168"/>
      <c r="C52" s="168"/>
      <c r="D52" s="168"/>
      <c r="E52" s="168"/>
      <c r="F52" s="168"/>
      <c r="G52" s="168"/>
      <c r="H52" s="168"/>
      <c r="I52" s="168"/>
      <c r="J52" s="168"/>
      <c r="K52" s="168"/>
      <c r="L52" s="168"/>
      <c r="M52" s="168"/>
      <c r="N52" s="168"/>
      <c r="O52" s="168"/>
      <c r="P52" s="168"/>
      <c r="Q52" s="168"/>
      <c r="R52" s="168"/>
    </row>
    <row r="53" spans="1:18" x14ac:dyDescent="0.3">
      <c r="A53" s="168"/>
      <c r="B53" s="168"/>
      <c r="C53" s="168"/>
      <c r="D53" s="168"/>
      <c r="E53" s="168"/>
      <c r="F53" s="168"/>
      <c r="G53" s="168"/>
      <c r="H53" s="168"/>
      <c r="I53" s="168"/>
      <c r="J53" s="168"/>
      <c r="K53" s="168"/>
      <c r="L53" s="168"/>
      <c r="M53" s="168"/>
      <c r="N53" s="168"/>
      <c r="O53" s="168"/>
      <c r="P53" s="168"/>
      <c r="Q53" s="168"/>
      <c r="R53" s="168"/>
    </row>
    <row r="54" spans="1:18" x14ac:dyDescent="0.3">
      <c r="A54" s="168"/>
      <c r="B54" s="168"/>
      <c r="C54" s="168"/>
      <c r="D54" s="168"/>
      <c r="E54" s="168"/>
      <c r="F54" s="168"/>
      <c r="G54" s="168"/>
      <c r="H54" s="168"/>
      <c r="I54" s="168"/>
      <c r="J54" s="168"/>
      <c r="K54" s="168"/>
      <c r="L54" s="168"/>
      <c r="M54" s="168"/>
      <c r="N54" s="168"/>
      <c r="O54" s="168"/>
      <c r="P54" s="168"/>
      <c r="Q54" s="168"/>
      <c r="R54" s="168"/>
    </row>
    <row r="55" spans="1:18" x14ac:dyDescent="0.3">
      <c r="A55" s="168"/>
      <c r="B55" s="168"/>
      <c r="C55" s="168"/>
      <c r="D55" s="168"/>
      <c r="E55" s="168"/>
      <c r="F55" s="168"/>
      <c r="G55" s="168"/>
      <c r="H55" s="168"/>
      <c r="I55" s="168"/>
      <c r="J55" s="168"/>
      <c r="K55" s="168"/>
      <c r="L55" s="168"/>
      <c r="M55" s="168"/>
      <c r="N55" s="168"/>
      <c r="O55" s="168"/>
      <c r="P55" s="168"/>
      <c r="Q55" s="168"/>
      <c r="R55" s="168"/>
    </row>
    <row r="56" spans="1:18" x14ac:dyDescent="0.3">
      <c r="A56" s="168"/>
      <c r="B56" s="168"/>
      <c r="C56" s="168"/>
      <c r="D56" s="168"/>
      <c r="E56" s="168"/>
      <c r="F56" s="168"/>
      <c r="G56" s="168"/>
      <c r="H56" s="168"/>
      <c r="I56" s="168"/>
      <c r="J56" s="168"/>
      <c r="K56" s="168"/>
      <c r="L56" s="168"/>
      <c r="M56" s="168"/>
      <c r="N56" s="168"/>
      <c r="O56" s="168"/>
      <c r="P56" s="168"/>
      <c r="Q56" s="168"/>
      <c r="R56" s="168"/>
    </row>
    <row r="57" spans="1:18" x14ac:dyDescent="0.3">
      <c r="A57" s="168"/>
      <c r="B57" s="168"/>
      <c r="C57" s="168"/>
      <c r="D57" s="168"/>
      <c r="E57" s="168"/>
      <c r="F57" s="168"/>
      <c r="G57" s="168"/>
      <c r="H57" s="168"/>
      <c r="I57" s="168"/>
      <c r="J57" s="168"/>
      <c r="K57" s="168"/>
      <c r="L57" s="168"/>
      <c r="M57" s="168"/>
      <c r="N57" s="168"/>
      <c r="O57" s="168"/>
      <c r="P57" s="168"/>
      <c r="Q57" s="168"/>
      <c r="R57" s="168"/>
    </row>
    <row r="58" spans="1:18" x14ac:dyDescent="0.3">
      <c r="A58" s="168"/>
      <c r="B58" s="168"/>
      <c r="C58" s="168"/>
      <c r="D58" s="168"/>
      <c r="E58" s="168"/>
      <c r="F58" s="168"/>
      <c r="G58" s="168"/>
      <c r="H58" s="168"/>
      <c r="I58" s="168"/>
      <c r="J58" s="168"/>
      <c r="K58" s="168"/>
      <c r="L58" s="168"/>
      <c r="M58" s="168"/>
      <c r="N58" s="168"/>
      <c r="O58" s="168"/>
      <c r="P58" s="168"/>
      <c r="Q58" s="168"/>
      <c r="R58" s="168"/>
    </row>
    <row r="59" spans="1:18" x14ac:dyDescent="0.3">
      <c r="A59" s="168"/>
      <c r="B59" s="168"/>
      <c r="C59" s="168"/>
      <c r="D59" s="168"/>
      <c r="E59" s="168"/>
      <c r="F59" s="168"/>
      <c r="G59" s="168"/>
      <c r="H59" s="168"/>
      <c r="I59" s="168"/>
      <c r="J59" s="168"/>
      <c r="K59" s="168"/>
      <c r="L59" s="168"/>
      <c r="M59" s="168"/>
      <c r="N59" s="168"/>
      <c r="O59" s="168"/>
      <c r="P59" s="168"/>
      <c r="Q59" s="168"/>
      <c r="R59" s="168"/>
    </row>
    <row r="60" spans="1:18" x14ac:dyDescent="0.3">
      <c r="A60" s="168"/>
      <c r="B60" s="168"/>
      <c r="C60" s="168"/>
      <c r="D60" s="168"/>
      <c r="E60" s="168"/>
      <c r="F60" s="168"/>
      <c r="G60" s="168"/>
      <c r="H60" s="168"/>
      <c r="I60" s="168"/>
      <c r="J60" s="168"/>
      <c r="K60" s="168"/>
      <c r="L60" s="168"/>
      <c r="M60" s="168"/>
      <c r="N60" s="168"/>
      <c r="O60" s="168"/>
      <c r="P60" s="168"/>
      <c r="Q60" s="168"/>
      <c r="R60" s="168"/>
    </row>
    <row r="61" spans="1:18" x14ac:dyDescent="0.3">
      <c r="A61" s="168"/>
      <c r="B61" s="168"/>
      <c r="C61" s="168"/>
      <c r="D61" s="168"/>
      <c r="E61" s="168"/>
      <c r="F61" s="168"/>
      <c r="G61" s="168"/>
      <c r="H61" s="168"/>
      <c r="I61" s="168"/>
      <c r="J61" s="168"/>
      <c r="K61" s="168"/>
      <c r="L61" s="168"/>
      <c r="M61" s="168"/>
      <c r="N61" s="168"/>
      <c r="O61" s="168"/>
      <c r="P61" s="168"/>
      <c r="Q61" s="168"/>
      <c r="R61" s="168"/>
    </row>
    <row r="62" spans="1:18" x14ac:dyDescent="0.3">
      <c r="A62" s="168"/>
      <c r="B62" s="168"/>
      <c r="C62" s="168"/>
      <c r="D62" s="168"/>
      <c r="E62" s="168"/>
      <c r="F62" s="168"/>
      <c r="G62" s="168"/>
      <c r="H62" s="168"/>
      <c r="I62" s="168"/>
      <c r="J62" s="168"/>
      <c r="K62" s="168"/>
      <c r="L62" s="168"/>
      <c r="M62" s="168"/>
      <c r="N62" s="168"/>
      <c r="O62" s="168"/>
      <c r="P62" s="168"/>
      <c r="Q62" s="168"/>
      <c r="R62" s="168"/>
    </row>
    <row r="63" spans="1:18" x14ac:dyDescent="0.3">
      <c r="A63" s="168"/>
      <c r="B63" s="168"/>
      <c r="C63" s="168"/>
      <c r="D63" s="168"/>
      <c r="E63" s="168"/>
      <c r="F63" s="168"/>
      <c r="G63" s="168"/>
      <c r="H63" s="168"/>
      <c r="I63" s="168"/>
      <c r="J63" s="168"/>
      <c r="K63" s="168"/>
      <c r="L63" s="168"/>
      <c r="M63" s="168"/>
      <c r="N63" s="168"/>
      <c r="O63" s="168"/>
      <c r="P63" s="168"/>
      <c r="Q63" s="168"/>
      <c r="R63" s="168"/>
    </row>
    <row r="64" spans="1:18" ht="325.95" customHeight="1" x14ac:dyDescent="0.3">
      <c r="A64" s="168"/>
      <c r="B64" s="168"/>
      <c r="C64" s="168"/>
      <c r="D64" s="168"/>
      <c r="E64" s="168"/>
      <c r="F64" s="168"/>
      <c r="G64" s="168"/>
      <c r="H64" s="168"/>
      <c r="I64" s="168"/>
      <c r="J64" s="168"/>
      <c r="K64" s="168"/>
      <c r="L64" s="168"/>
      <c r="M64" s="168"/>
      <c r="N64" s="168"/>
      <c r="O64" s="168"/>
      <c r="P64" s="168"/>
      <c r="Q64" s="168"/>
      <c r="R64" s="168"/>
    </row>
    <row r="65" spans="1:18" ht="294.45" customHeight="1" x14ac:dyDescent="0.3">
      <c r="A65" s="168"/>
      <c r="B65" s="168"/>
      <c r="C65" s="168"/>
      <c r="D65" s="168"/>
      <c r="E65" s="168"/>
      <c r="F65" s="168"/>
      <c r="G65" s="168"/>
      <c r="H65" s="168"/>
      <c r="I65" s="168"/>
      <c r="J65" s="168"/>
      <c r="K65" s="168"/>
      <c r="L65" s="168"/>
      <c r="M65" s="168"/>
      <c r="N65" s="168"/>
      <c r="O65" s="168"/>
      <c r="P65" s="168"/>
      <c r="Q65" s="168"/>
      <c r="R65" s="168"/>
    </row>
    <row r="66" spans="1:18" ht="409.5" customHeight="1" x14ac:dyDescent="0.3">
      <c r="A66" s="168"/>
      <c r="B66" s="168"/>
      <c r="C66" s="168"/>
      <c r="D66" s="168"/>
      <c r="E66" s="168"/>
      <c r="F66" s="168"/>
      <c r="G66" s="168"/>
      <c r="H66" s="168"/>
      <c r="I66" s="168"/>
      <c r="J66" s="168"/>
      <c r="K66" s="168"/>
      <c r="L66" s="168"/>
      <c r="M66" s="168"/>
      <c r="N66" s="168"/>
      <c r="O66" s="168"/>
      <c r="P66" s="168"/>
      <c r="Q66" s="168"/>
      <c r="R66" s="168"/>
    </row>
    <row r="67" spans="1:18" x14ac:dyDescent="0.3">
      <c r="A67" s="156"/>
    </row>
    <row r="68" spans="1:18" x14ac:dyDescent="0.3">
      <c r="A68" s="156"/>
    </row>
    <row r="69" spans="1:18" x14ac:dyDescent="0.3">
      <c r="A69" s="156"/>
    </row>
    <row r="70" spans="1:18" x14ac:dyDescent="0.3">
      <c r="A70" s="156"/>
    </row>
    <row r="71" spans="1:18" x14ac:dyDescent="0.3">
      <c r="A71" s="156"/>
    </row>
    <row r="72" spans="1:18" x14ac:dyDescent="0.3">
      <c r="A72" s="156"/>
    </row>
    <row r="73" spans="1:18" x14ac:dyDescent="0.3">
      <c r="A73" s="156"/>
    </row>
    <row r="74" spans="1:18" x14ac:dyDescent="0.3">
      <c r="A74" s="156"/>
    </row>
    <row r="75" spans="1:18" x14ac:dyDescent="0.3">
      <c r="A75" s="156"/>
    </row>
    <row r="76" spans="1:18" x14ac:dyDescent="0.3">
      <c r="A76" s="156"/>
    </row>
    <row r="77" spans="1:18" x14ac:dyDescent="0.3">
      <c r="A77" s="156"/>
    </row>
    <row r="78" spans="1:18" x14ac:dyDescent="0.3">
      <c r="A78" s="156"/>
    </row>
    <row r="79" spans="1:18" x14ac:dyDescent="0.3">
      <c r="A79" s="156"/>
    </row>
    <row r="80" spans="1:18" x14ac:dyDescent="0.3">
      <c r="A80" s="156"/>
    </row>
    <row r="81" spans="1:1" x14ac:dyDescent="0.3">
      <c r="A81" s="156"/>
    </row>
    <row r="82" spans="1:1" x14ac:dyDescent="0.3">
      <c r="A82" s="156"/>
    </row>
    <row r="83" spans="1:1" x14ac:dyDescent="0.3">
      <c r="A83" s="156"/>
    </row>
    <row r="84" spans="1:1" x14ac:dyDescent="0.3">
      <c r="A84" s="156"/>
    </row>
    <row r="85" spans="1:1" x14ac:dyDescent="0.3">
      <c r="A85" s="156"/>
    </row>
    <row r="86" spans="1:1" x14ac:dyDescent="0.3">
      <c r="A86" s="156"/>
    </row>
    <row r="87" spans="1:1" x14ac:dyDescent="0.3">
      <c r="A87" s="156"/>
    </row>
    <row r="88" spans="1:1" x14ac:dyDescent="0.3">
      <c r="A88" s="156"/>
    </row>
    <row r="89" spans="1:1" x14ac:dyDescent="0.3">
      <c r="A89" s="156"/>
    </row>
    <row r="90" spans="1:1" x14ac:dyDescent="0.3">
      <c r="A90" s="156"/>
    </row>
    <row r="91" spans="1:1" x14ac:dyDescent="0.3">
      <c r="A91" s="156"/>
    </row>
    <row r="92" spans="1:1" x14ac:dyDescent="0.3">
      <c r="A92" s="156"/>
    </row>
    <row r="93" spans="1:1" x14ac:dyDescent="0.3">
      <c r="A93" s="156"/>
    </row>
    <row r="94" spans="1:1" x14ac:dyDescent="0.3">
      <c r="A94" s="156"/>
    </row>
    <row r="95" spans="1:1" x14ac:dyDescent="0.3">
      <c r="A95" s="156"/>
    </row>
    <row r="96" spans="1:1" x14ac:dyDescent="0.3">
      <c r="A96" s="156"/>
    </row>
    <row r="97" spans="1:1" x14ac:dyDescent="0.3">
      <c r="A97" s="156"/>
    </row>
    <row r="98" spans="1:1" x14ac:dyDescent="0.3">
      <c r="A98" s="156"/>
    </row>
    <row r="99" spans="1:1" x14ac:dyDescent="0.3">
      <c r="A99" s="156"/>
    </row>
    <row r="100" spans="1:1" x14ac:dyDescent="0.3">
      <c r="A100" s="156"/>
    </row>
    <row r="101" spans="1:1" x14ac:dyDescent="0.3">
      <c r="A101" s="156"/>
    </row>
    <row r="102" spans="1:1" x14ac:dyDescent="0.3">
      <c r="A102" s="156"/>
    </row>
    <row r="103" spans="1:1" x14ac:dyDescent="0.3">
      <c r="A103" s="156"/>
    </row>
    <row r="104" spans="1:1" x14ac:dyDescent="0.3">
      <c r="A104" s="156"/>
    </row>
    <row r="105" spans="1:1" x14ac:dyDescent="0.3">
      <c r="A105" s="156"/>
    </row>
    <row r="106" spans="1:1" x14ac:dyDescent="0.3">
      <c r="A106" s="156"/>
    </row>
    <row r="107" spans="1:1" x14ac:dyDescent="0.3">
      <c r="A107" s="156"/>
    </row>
    <row r="108" spans="1:1" x14ac:dyDescent="0.3">
      <c r="A108" s="156"/>
    </row>
    <row r="109" spans="1:1" x14ac:dyDescent="0.3">
      <c r="A109" s="156"/>
    </row>
    <row r="110" spans="1:1" x14ac:dyDescent="0.3">
      <c r="A110" s="156"/>
    </row>
    <row r="111" spans="1:1" x14ac:dyDescent="0.3">
      <c r="A111" s="156"/>
    </row>
    <row r="112" spans="1:1" x14ac:dyDescent="0.3">
      <c r="A112" s="156"/>
    </row>
    <row r="113" spans="1:1" x14ac:dyDescent="0.3">
      <c r="A113" s="156"/>
    </row>
    <row r="114" spans="1:1" x14ac:dyDescent="0.3">
      <c r="A114" s="156"/>
    </row>
    <row r="115" spans="1:1" x14ac:dyDescent="0.3">
      <c r="A115" s="156"/>
    </row>
    <row r="116" spans="1:1" x14ac:dyDescent="0.3">
      <c r="A116" s="156"/>
    </row>
    <row r="117" spans="1:1" x14ac:dyDescent="0.3">
      <c r="A117" s="156"/>
    </row>
    <row r="118" spans="1:1" x14ac:dyDescent="0.3">
      <c r="A118" s="156"/>
    </row>
    <row r="119" spans="1:1" x14ac:dyDescent="0.3">
      <c r="A119" s="156"/>
    </row>
    <row r="120" spans="1:1" x14ac:dyDescent="0.3">
      <c r="A120" s="156"/>
    </row>
    <row r="121" spans="1:1" x14ac:dyDescent="0.3">
      <c r="A121" s="156"/>
    </row>
    <row r="122" spans="1:1" x14ac:dyDescent="0.3">
      <c r="A122" s="156"/>
    </row>
    <row r="123" spans="1:1" x14ac:dyDescent="0.3">
      <c r="A123" s="156"/>
    </row>
    <row r="124" spans="1:1" x14ac:dyDescent="0.3">
      <c r="A124" s="156"/>
    </row>
    <row r="125" spans="1:1" x14ac:dyDescent="0.3">
      <c r="A125" s="156"/>
    </row>
    <row r="126" spans="1:1" x14ac:dyDescent="0.3">
      <c r="A126" s="156"/>
    </row>
    <row r="127" spans="1:1" x14ac:dyDescent="0.3">
      <c r="A127" s="156"/>
    </row>
    <row r="128" spans="1:1" x14ac:dyDescent="0.3">
      <c r="A128" s="156"/>
    </row>
    <row r="129" spans="1:1" x14ac:dyDescent="0.3">
      <c r="A129" s="156"/>
    </row>
    <row r="130" spans="1:1" x14ac:dyDescent="0.3">
      <c r="A130" s="156"/>
    </row>
    <row r="131" spans="1:1" x14ac:dyDescent="0.3">
      <c r="A131" s="156"/>
    </row>
    <row r="132" spans="1:1" x14ac:dyDescent="0.3">
      <c r="A132" s="156"/>
    </row>
    <row r="133" spans="1:1" x14ac:dyDescent="0.3">
      <c r="A133" s="156"/>
    </row>
    <row r="134" spans="1:1" x14ac:dyDescent="0.3">
      <c r="A134" s="156"/>
    </row>
    <row r="135" spans="1:1" x14ac:dyDescent="0.3">
      <c r="A135" s="156"/>
    </row>
    <row r="136" spans="1:1" x14ac:dyDescent="0.3">
      <c r="A136" s="156"/>
    </row>
    <row r="137" spans="1:1" x14ac:dyDescent="0.3">
      <c r="A137" s="156"/>
    </row>
    <row r="138" spans="1:1" x14ac:dyDescent="0.3">
      <c r="A138" s="156"/>
    </row>
    <row r="139" spans="1:1" x14ac:dyDescent="0.3">
      <c r="A139" s="156"/>
    </row>
    <row r="140" spans="1:1" x14ac:dyDescent="0.3">
      <c r="A140" s="156"/>
    </row>
    <row r="141" spans="1:1" x14ac:dyDescent="0.3">
      <c r="A141" s="156"/>
    </row>
    <row r="142" spans="1:1" x14ac:dyDescent="0.3">
      <c r="A142" s="156"/>
    </row>
    <row r="143" spans="1:1" x14ac:dyDescent="0.3">
      <c r="A143" s="156"/>
    </row>
    <row r="144" spans="1:1" x14ac:dyDescent="0.3">
      <c r="A144" s="156"/>
    </row>
    <row r="145" spans="1:1" x14ac:dyDescent="0.3">
      <c r="A145" s="156"/>
    </row>
    <row r="146" spans="1:1" x14ac:dyDescent="0.3">
      <c r="A146" s="156"/>
    </row>
    <row r="147" spans="1:1" x14ac:dyDescent="0.3">
      <c r="A147" s="156"/>
    </row>
    <row r="148" spans="1:1" x14ac:dyDescent="0.3">
      <c r="A148" s="156"/>
    </row>
    <row r="149" spans="1:1" x14ac:dyDescent="0.3">
      <c r="A149" s="156"/>
    </row>
    <row r="150" spans="1:1" x14ac:dyDescent="0.3">
      <c r="A150" s="156"/>
    </row>
    <row r="151" spans="1:1" x14ac:dyDescent="0.3">
      <c r="A151" s="156"/>
    </row>
    <row r="152" spans="1:1" x14ac:dyDescent="0.3">
      <c r="A152" s="156"/>
    </row>
    <row r="153" spans="1:1" x14ac:dyDescent="0.3">
      <c r="A153" s="156"/>
    </row>
    <row r="154" spans="1:1" x14ac:dyDescent="0.3">
      <c r="A154" s="156"/>
    </row>
    <row r="155" spans="1:1" x14ac:dyDescent="0.3">
      <c r="A155" s="156"/>
    </row>
    <row r="156" spans="1:1" x14ac:dyDescent="0.3">
      <c r="A156" s="156"/>
    </row>
    <row r="157" spans="1:1" x14ac:dyDescent="0.3">
      <c r="A157" s="156"/>
    </row>
    <row r="158" spans="1:1" x14ac:dyDescent="0.3">
      <c r="A158" s="156"/>
    </row>
    <row r="159" spans="1:1" x14ac:dyDescent="0.3">
      <c r="A159" s="156"/>
    </row>
    <row r="160" spans="1:1" x14ac:dyDescent="0.3">
      <c r="A160" s="156"/>
    </row>
    <row r="161" spans="1:1" x14ac:dyDescent="0.3">
      <c r="A161" s="156"/>
    </row>
    <row r="162" spans="1:1" x14ac:dyDescent="0.3">
      <c r="A162" s="156"/>
    </row>
    <row r="163" spans="1:1" x14ac:dyDescent="0.3">
      <c r="A163" s="156"/>
    </row>
    <row r="164" spans="1:1" x14ac:dyDescent="0.3">
      <c r="A164" s="156"/>
    </row>
    <row r="165" spans="1:1" x14ac:dyDescent="0.3">
      <c r="A165" s="156"/>
    </row>
    <row r="166" spans="1:1" x14ac:dyDescent="0.3">
      <c r="A166" s="156"/>
    </row>
    <row r="167" spans="1:1" x14ac:dyDescent="0.3">
      <c r="A167" s="156"/>
    </row>
    <row r="168" spans="1:1" x14ac:dyDescent="0.3">
      <c r="A168" s="156"/>
    </row>
    <row r="169" spans="1:1" x14ac:dyDescent="0.3">
      <c r="A169" s="156"/>
    </row>
    <row r="170" spans="1:1" x14ac:dyDescent="0.3">
      <c r="A170" s="156"/>
    </row>
  </sheetData>
  <mergeCells count="11">
    <mergeCell ref="A45:R45"/>
    <mergeCell ref="A46:R46"/>
    <mergeCell ref="A47:R47"/>
    <mergeCell ref="A48:R48"/>
    <mergeCell ref="A3:R3"/>
    <mergeCell ref="A44:R44"/>
    <mergeCell ref="A2:R2"/>
    <mergeCell ref="A4:R40"/>
    <mergeCell ref="A41:R41"/>
    <mergeCell ref="A42:R42"/>
    <mergeCell ref="A43:R4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24</v>
      </c>
    </row>
    <row r="2" spans="1:6" x14ac:dyDescent="0.3">
      <c r="D2" t="s">
        <v>8</v>
      </c>
      <c r="E2" t="s">
        <v>9</v>
      </c>
      <c r="F2" t="s">
        <v>10</v>
      </c>
    </row>
    <row r="3" spans="1:6" x14ac:dyDescent="0.3">
      <c r="A3" t="s">
        <v>11</v>
      </c>
      <c r="D3">
        <v>37345</v>
      </c>
      <c r="E3">
        <v>41766.516476277495</v>
      </c>
      <c r="F3">
        <v>1.1183964781437272</v>
      </c>
    </row>
    <row r="4" spans="1:6" x14ac:dyDescent="0.3">
      <c r="A4" t="s">
        <v>12</v>
      </c>
      <c r="D4">
        <v>8250</v>
      </c>
      <c r="E4">
        <v>3605.25</v>
      </c>
      <c r="F4">
        <v>0.437</v>
      </c>
    </row>
    <row r="5" spans="1:6" x14ac:dyDescent="0.3">
      <c r="A5" t="s">
        <v>13</v>
      </c>
      <c r="D5">
        <v>219652</v>
      </c>
      <c r="E5">
        <v>0</v>
      </c>
      <c r="F5">
        <v>0</v>
      </c>
    </row>
    <row r="6" spans="1:6" x14ac:dyDescent="0.3">
      <c r="A6" t="s">
        <v>14</v>
      </c>
      <c r="D6">
        <v>265247</v>
      </c>
      <c r="E6">
        <v>45371.766476277495</v>
      </c>
      <c r="F6">
        <v>0.17105477715592446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26</v>
      </c>
    </row>
    <row r="2" spans="1:6" x14ac:dyDescent="0.3">
      <c r="D2" t="s">
        <v>8</v>
      </c>
      <c r="E2" t="s">
        <v>9</v>
      </c>
      <c r="F2" t="s">
        <v>10</v>
      </c>
    </row>
    <row r="3" spans="1:6" x14ac:dyDescent="0.3">
      <c r="A3" t="s">
        <v>11</v>
      </c>
      <c r="D3">
        <v>0</v>
      </c>
      <c r="E3">
        <v>0</v>
      </c>
      <c r="F3">
        <v>0</v>
      </c>
    </row>
    <row r="4" spans="1:6" x14ac:dyDescent="0.3">
      <c r="A4" t="s">
        <v>12</v>
      </c>
      <c r="D4">
        <v>29283</v>
      </c>
      <c r="E4">
        <v>12796.671</v>
      </c>
      <c r="F4">
        <v>0.437</v>
      </c>
    </row>
    <row r="5" spans="1:6" x14ac:dyDescent="0.3">
      <c r="A5" t="s">
        <v>13</v>
      </c>
      <c r="D5">
        <f>574455+72850</f>
        <v>647305</v>
      </c>
      <c r="E5">
        <v>0</v>
      </c>
      <c r="F5">
        <v>0</v>
      </c>
    </row>
    <row r="6" spans="1:6" x14ac:dyDescent="0.3">
      <c r="A6" t="s">
        <v>14</v>
      </c>
      <c r="D6">
        <f>SUM(D3:D5)</f>
        <v>676588</v>
      </c>
      <c r="E6">
        <v>12796.671</v>
      </c>
      <c r="F6">
        <f>E6/D6</f>
        <v>1.8913535268139547E-2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28</v>
      </c>
    </row>
    <row r="2" spans="1:6" ht="66.599999999999994" x14ac:dyDescent="0.3">
      <c r="A2" s="30"/>
      <c r="B2" s="38"/>
      <c r="C2" s="31"/>
      <c r="D2" s="29" t="s">
        <v>8</v>
      </c>
      <c r="E2" s="28" t="s">
        <v>9</v>
      </c>
      <c r="F2" s="28" t="s">
        <v>10</v>
      </c>
    </row>
    <row r="3" spans="1:6" x14ac:dyDescent="0.3">
      <c r="A3" s="32" t="s">
        <v>11</v>
      </c>
      <c r="B3" s="32"/>
      <c r="C3" s="32"/>
      <c r="D3" s="33">
        <v>0</v>
      </c>
      <c r="E3" s="33">
        <v>0</v>
      </c>
      <c r="F3" s="35">
        <v>0</v>
      </c>
    </row>
    <row r="4" spans="1:6" x14ac:dyDescent="0.3">
      <c r="A4" s="32" t="s">
        <v>12</v>
      </c>
      <c r="B4" s="32"/>
      <c r="C4" s="32"/>
      <c r="D4" s="33">
        <v>971.553</v>
      </c>
      <c r="E4" s="33">
        <v>424.56866100000002</v>
      </c>
      <c r="F4" s="35">
        <v>0.437</v>
      </c>
    </row>
    <row r="5" spans="1:6" x14ac:dyDescent="0.3">
      <c r="A5" s="32" t="s">
        <v>13</v>
      </c>
      <c r="B5" s="32"/>
      <c r="C5" s="32"/>
      <c r="D5" s="34">
        <v>21043.263999999999</v>
      </c>
      <c r="E5" s="37">
        <v>0</v>
      </c>
      <c r="F5" s="36">
        <v>0</v>
      </c>
    </row>
    <row r="6" spans="1:6" x14ac:dyDescent="0.3">
      <c r="A6" s="32" t="s">
        <v>14</v>
      </c>
      <c r="B6" s="32"/>
      <c r="C6" s="32"/>
      <c r="D6" s="33">
        <v>22014.816999999999</v>
      </c>
      <c r="E6" s="33">
        <v>424.56866100000002</v>
      </c>
      <c r="F6" s="35">
        <v>1.9285586657386253E-2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30</v>
      </c>
    </row>
    <row r="2" spans="1:6" x14ac:dyDescent="0.3">
      <c r="D2" t="s">
        <v>8</v>
      </c>
      <c r="E2" t="s">
        <v>9</v>
      </c>
      <c r="F2" t="s">
        <v>10</v>
      </c>
    </row>
    <row r="3" spans="1:6" x14ac:dyDescent="0.3">
      <c r="A3" t="s">
        <v>11</v>
      </c>
      <c r="D3">
        <v>0</v>
      </c>
      <c r="E3">
        <v>0</v>
      </c>
      <c r="F3">
        <v>0</v>
      </c>
    </row>
    <row r="4" spans="1:6" x14ac:dyDescent="0.3">
      <c r="A4" t="s">
        <v>12</v>
      </c>
      <c r="D4" s="39">
        <v>421917</v>
      </c>
      <c r="E4" s="39">
        <v>184378</v>
      </c>
      <c r="F4">
        <v>0.437</v>
      </c>
    </row>
    <row r="5" spans="1:6" x14ac:dyDescent="0.3">
      <c r="A5" t="s">
        <v>13</v>
      </c>
      <c r="D5" s="39">
        <v>3771729</v>
      </c>
      <c r="E5">
        <v>0</v>
      </c>
      <c r="F5">
        <v>0</v>
      </c>
    </row>
    <row r="6" spans="1:6" x14ac:dyDescent="0.3">
      <c r="A6" t="s">
        <v>14</v>
      </c>
      <c r="D6" s="39">
        <v>4193646</v>
      </c>
      <c r="E6" s="39">
        <v>184378</v>
      </c>
      <c r="F6">
        <v>4.3999999999999997E-2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33</v>
      </c>
    </row>
    <row r="2" spans="1:6" x14ac:dyDescent="0.3">
      <c r="D2" t="s">
        <v>8</v>
      </c>
      <c r="E2" t="s">
        <v>9</v>
      </c>
      <c r="F2" t="s">
        <v>10</v>
      </c>
    </row>
    <row r="3" spans="1:6" x14ac:dyDescent="0.3">
      <c r="A3" t="s">
        <v>11</v>
      </c>
      <c r="D3">
        <v>20553927.015000001</v>
      </c>
      <c r="E3">
        <v>15298493.182683382</v>
      </c>
      <c r="F3">
        <v>0.74430998862255038</v>
      </c>
    </row>
    <row r="4" spans="1:6" x14ac:dyDescent="0.3">
      <c r="A4" t="s">
        <v>12</v>
      </c>
      <c r="D4">
        <v>39148.6152</v>
      </c>
      <c r="E4">
        <v>17107.9448424</v>
      </c>
      <c r="F4">
        <v>0.437</v>
      </c>
    </row>
    <row r="5" spans="1:6" x14ac:dyDescent="0.3">
      <c r="A5" t="s">
        <v>13</v>
      </c>
      <c r="D5">
        <v>0</v>
      </c>
      <c r="E5">
        <v>0</v>
      </c>
      <c r="F5">
        <v>0</v>
      </c>
    </row>
    <row r="6" spans="1:6" x14ac:dyDescent="0.3">
      <c r="A6" t="s">
        <v>14</v>
      </c>
      <c r="D6">
        <v>20593075.630200002</v>
      </c>
      <c r="E6">
        <v>15315601.127525782</v>
      </c>
      <c r="F6">
        <v>0.74372577474854029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34</v>
      </c>
    </row>
    <row r="2" spans="1:6" ht="66.599999999999994" x14ac:dyDescent="0.3">
      <c r="A2" s="53"/>
      <c r="B2" s="61"/>
      <c r="C2" s="54"/>
      <c r="D2" s="52" t="s">
        <v>8</v>
      </c>
      <c r="E2" s="51" t="s">
        <v>9</v>
      </c>
      <c r="F2" s="51" t="s">
        <v>10</v>
      </c>
    </row>
    <row r="3" spans="1:6" x14ac:dyDescent="0.3">
      <c r="A3" s="55" t="s">
        <v>11</v>
      </c>
      <c r="B3" s="55"/>
      <c r="C3" s="55"/>
      <c r="D3" s="56">
        <v>0</v>
      </c>
      <c r="E3" s="56">
        <v>0</v>
      </c>
      <c r="F3" s="58" t="e">
        <v>#DIV/0!</v>
      </c>
    </row>
    <row r="4" spans="1:6" x14ac:dyDescent="0.3">
      <c r="A4" s="55" t="s">
        <v>12</v>
      </c>
      <c r="B4" s="55"/>
      <c r="C4" s="55"/>
      <c r="D4" s="56">
        <v>80950</v>
      </c>
      <c r="E4" s="56">
        <v>35375.15</v>
      </c>
      <c r="F4" s="58">
        <v>0.437</v>
      </c>
    </row>
    <row r="5" spans="1:6" x14ac:dyDescent="0.3">
      <c r="A5" s="55" t="s">
        <v>13</v>
      </c>
      <c r="B5" s="55"/>
      <c r="C5" s="55"/>
      <c r="D5" s="57">
        <v>419813</v>
      </c>
      <c r="E5" s="60">
        <v>0</v>
      </c>
      <c r="F5" s="59">
        <v>0</v>
      </c>
    </row>
    <row r="6" spans="1:6" x14ac:dyDescent="0.3">
      <c r="A6" s="55" t="s">
        <v>14</v>
      </c>
      <c r="B6" s="55"/>
      <c r="C6" s="55"/>
      <c r="D6" s="56">
        <v>500763</v>
      </c>
      <c r="E6" s="56">
        <v>35375.15</v>
      </c>
      <c r="F6" s="58">
        <v>7.064249954569328E-2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36</v>
      </c>
    </row>
    <row r="2" spans="1:6" ht="66.599999999999994" x14ac:dyDescent="0.3">
      <c r="A2" s="64"/>
      <c r="B2" s="72"/>
      <c r="C2" s="65"/>
      <c r="D2" s="63" t="s">
        <v>8</v>
      </c>
      <c r="E2" s="62" t="s">
        <v>9</v>
      </c>
      <c r="F2" s="62" t="s">
        <v>10</v>
      </c>
    </row>
    <row r="3" spans="1:6" x14ac:dyDescent="0.3">
      <c r="A3" s="66" t="s">
        <v>11</v>
      </c>
      <c r="B3" s="66"/>
      <c r="C3" s="66"/>
      <c r="D3" s="67">
        <v>0</v>
      </c>
      <c r="E3" s="67">
        <v>0</v>
      </c>
      <c r="F3" s="69">
        <v>0</v>
      </c>
    </row>
    <row r="4" spans="1:6" x14ac:dyDescent="0.3">
      <c r="A4" s="66" t="s">
        <v>12</v>
      </c>
      <c r="B4" s="66"/>
      <c r="C4" s="66"/>
      <c r="D4" s="67">
        <v>38578.050000000003</v>
      </c>
      <c r="E4" s="67">
        <v>16858.60785</v>
      </c>
      <c r="F4" s="69">
        <v>0.437</v>
      </c>
    </row>
    <row r="5" spans="1:6" x14ac:dyDescent="0.3">
      <c r="A5" s="66" t="s">
        <v>13</v>
      </c>
      <c r="B5" s="66"/>
      <c r="C5" s="66"/>
      <c r="D5" s="68">
        <v>904157.75</v>
      </c>
      <c r="E5" s="71">
        <v>0</v>
      </c>
      <c r="F5" s="70">
        <v>0</v>
      </c>
    </row>
    <row r="6" spans="1:6" x14ac:dyDescent="0.3">
      <c r="A6" s="66" t="s">
        <v>14</v>
      </c>
      <c r="B6" s="66"/>
      <c r="C6" s="66"/>
      <c r="D6" s="67">
        <v>942735.8</v>
      </c>
      <c r="E6" s="67">
        <v>16858.60785</v>
      </c>
      <c r="F6" s="69">
        <v>1.7882643101068189E-2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38</v>
      </c>
    </row>
    <row r="2" spans="1:6" ht="66.599999999999994" x14ac:dyDescent="0.3">
      <c r="A2" s="75"/>
      <c r="B2" s="83"/>
      <c r="C2" s="76"/>
      <c r="D2" s="74" t="s">
        <v>8</v>
      </c>
      <c r="E2" s="73" t="s">
        <v>9</v>
      </c>
      <c r="F2" s="73" t="s">
        <v>10</v>
      </c>
    </row>
    <row r="3" spans="1:6" x14ac:dyDescent="0.3">
      <c r="A3" s="77" t="s">
        <v>11</v>
      </c>
      <c r="B3" s="77"/>
      <c r="C3" s="77"/>
      <c r="D3" s="78">
        <v>0</v>
      </c>
      <c r="E3" s="78">
        <v>0</v>
      </c>
      <c r="F3" s="80">
        <v>0</v>
      </c>
    </row>
    <row r="4" spans="1:6" x14ac:dyDescent="0.3">
      <c r="A4" s="77" t="s">
        <v>12</v>
      </c>
      <c r="B4" s="77"/>
      <c r="C4" s="77"/>
      <c r="D4" s="78">
        <v>3231</v>
      </c>
      <c r="E4" s="78">
        <v>1411.9469999999999</v>
      </c>
      <c r="F4" s="80">
        <v>0.43699999999999994</v>
      </c>
    </row>
    <row r="5" spans="1:6" x14ac:dyDescent="0.3">
      <c r="A5" s="77" t="s">
        <v>13</v>
      </c>
      <c r="B5" s="77"/>
      <c r="C5" s="77"/>
      <c r="D5" s="79">
        <v>75542</v>
      </c>
      <c r="E5" s="82">
        <v>0</v>
      </c>
      <c r="F5" s="81">
        <v>0</v>
      </c>
    </row>
    <row r="6" spans="1:6" x14ac:dyDescent="0.3">
      <c r="A6" s="77" t="s">
        <v>14</v>
      </c>
      <c r="B6" s="77"/>
      <c r="C6" s="77"/>
      <c r="D6" s="78">
        <v>78773</v>
      </c>
      <c r="E6" s="78">
        <v>1411.9469999999999</v>
      </c>
      <c r="F6" s="80">
        <v>1.7924250695035098E-2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37</v>
      </c>
    </row>
    <row r="2" spans="1:6" ht="66.599999999999994" x14ac:dyDescent="0.3">
      <c r="A2" s="86"/>
      <c r="B2" s="87"/>
      <c r="C2" s="88"/>
      <c r="D2" s="89" t="s">
        <v>8</v>
      </c>
      <c r="E2" s="90" t="s">
        <v>9</v>
      </c>
      <c r="F2" s="90" t="s">
        <v>10</v>
      </c>
    </row>
    <row r="3" spans="1:6" x14ac:dyDescent="0.3">
      <c r="A3" s="84" t="s">
        <v>11</v>
      </c>
      <c r="B3" s="84"/>
      <c r="C3" s="84"/>
      <c r="D3" s="91">
        <v>0</v>
      </c>
      <c r="E3" s="91">
        <v>0</v>
      </c>
      <c r="F3" s="85">
        <v>0</v>
      </c>
    </row>
    <row r="4" spans="1:6" x14ac:dyDescent="0.3">
      <c r="A4" s="84" t="s">
        <v>12</v>
      </c>
      <c r="B4" s="84"/>
      <c r="C4" s="84"/>
      <c r="D4" s="91">
        <v>29247</v>
      </c>
      <c r="E4" s="91">
        <v>12780.939</v>
      </c>
      <c r="F4" s="85">
        <v>0.437</v>
      </c>
    </row>
    <row r="5" spans="1:6" x14ac:dyDescent="0.3">
      <c r="A5" s="84" t="s">
        <v>13</v>
      </c>
      <c r="B5" s="84"/>
      <c r="C5" s="84"/>
      <c r="D5" s="92">
        <v>665385</v>
      </c>
      <c r="E5" s="93">
        <v>0</v>
      </c>
      <c r="F5" s="94">
        <v>0</v>
      </c>
    </row>
    <row r="6" spans="1:6" x14ac:dyDescent="0.3">
      <c r="A6" s="84" t="s">
        <v>14</v>
      </c>
      <c r="B6" s="84"/>
      <c r="C6" s="84"/>
      <c r="D6" s="91">
        <v>694632</v>
      </c>
      <c r="E6" s="91">
        <v>12780.939</v>
      </c>
      <c r="F6" s="85">
        <v>1.8399582800677199E-2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40</v>
      </c>
    </row>
    <row r="2" spans="1:6" ht="66.599999999999994" x14ac:dyDescent="0.3">
      <c r="A2" s="98"/>
      <c r="B2" s="106"/>
      <c r="C2" s="99"/>
      <c r="D2" s="97" t="s">
        <v>8</v>
      </c>
      <c r="E2" s="96" t="s">
        <v>9</v>
      </c>
      <c r="F2" s="96" t="s">
        <v>10</v>
      </c>
    </row>
    <row r="3" spans="1:6" x14ac:dyDescent="0.3">
      <c r="A3" s="100" t="s">
        <v>11</v>
      </c>
      <c r="B3" s="100"/>
      <c r="C3" s="100"/>
      <c r="D3" s="101">
        <v>11172.5</v>
      </c>
      <c r="E3" s="101">
        <v>4716.8779999999997</v>
      </c>
      <c r="F3" s="103">
        <v>0.42218643991944504</v>
      </c>
    </row>
    <row r="4" spans="1:6" x14ac:dyDescent="0.3">
      <c r="A4" s="100" t="s">
        <v>12</v>
      </c>
      <c r="B4" s="100"/>
      <c r="C4" s="100" t="s">
        <v>39</v>
      </c>
      <c r="D4" s="101">
        <v>41724</v>
      </c>
      <c r="E4" s="101">
        <f>F4*D4</f>
        <v>18233.387999999999</v>
      </c>
      <c r="F4" s="103">
        <v>0.437</v>
      </c>
    </row>
    <row r="5" spans="1:6" x14ac:dyDescent="0.3">
      <c r="A5" s="100" t="s">
        <v>13</v>
      </c>
      <c r="B5" s="100"/>
      <c r="C5" s="100"/>
      <c r="D5" s="102">
        <v>590653.94999999995</v>
      </c>
      <c r="E5" s="105">
        <v>0</v>
      </c>
      <c r="F5" s="104">
        <v>0</v>
      </c>
    </row>
    <row r="6" spans="1:6" x14ac:dyDescent="0.3">
      <c r="A6" s="100" t="s">
        <v>14</v>
      </c>
      <c r="B6" s="100"/>
      <c r="C6" s="100"/>
      <c r="D6" s="101">
        <f>SUM(D3:D5)</f>
        <v>643550.44999999995</v>
      </c>
      <c r="E6" s="147">
        <f>SUM(E3:E5)</f>
        <v>22950.266</v>
      </c>
      <c r="F6" s="103">
        <f>E6/D6</f>
        <v>3.5661953153789269E-2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tabSelected="1" workbookViewId="0">
      <selection activeCell="A54" sqref="A54"/>
    </sheetView>
  </sheetViews>
  <sheetFormatPr defaultRowHeight="14.4" x14ac:dyDescent="0.3"/>
  <cols>
    <col min="1" max="1" width="30.33203125" customWidth="1"/>
    <col min="2" max="2" width="17.77734375" customWidth="1"/>
    <col min="3" max="3" width="13.5546875" customWidth="1"/>
    <col min="4" max="4" width="17.77734375" customWidth="1"/>
    <col min="5" max="5" width="22.44140625" customWidth="1"/>
    <col min="6" max="6" width="19.77734375" customWidth="1"/>
    <col min="7" max="7" width="15.44140625" customWidth="1"/>
    <col min="8" max="8" width="20.44140625" customWidth="1"/>
  </cols>
  <sheetData>
    <row r="1" spans="1:8" s="157" customFormat="1" ht="28.5" customHeight="1" x14ac:dyDescent="0.3">
      <c r="A1" s="174"/>
      <c r="B1" s="174"/>
      <c r="C1" s="174"/>
      <c r="D1" s="174"/>
      <c r="E1" s="174"/>
      <c r="F1" s="174"/>
      <c r="G1" s="174"/>
      <c r="H1" s="174"/>
    </row>
    <row r="2" spans="1:8" s="1" customFormat="1" ht="43.2" x14ac:dyDescent="0.3">
      <c r="A2" s="2" t="s">
        <v>0</v>
      </c>
      <c r="B2" s="3" t="s">
        <v>1</v>
      </c>
      <c r="C2" s="3" t="s">
        <v>2</v>
      </c>
      <c r="D2" s="3" t="s">
        <v>3</v>
      </c>
      <c r="E2" s="3" t="s">
        <v>4</v>
      </c>
      <c r="F2" s="3" t="s">
        <v>5</v>
      </c>
      <c r="G2" s="3" t="s">
        <v>6</v>
      </c>
      <c r="H2" s="3" t="s">
        <v>7</v>
      </c>
    </row>
    <row r="3" spans="1:8" x14ac:dyDescent="0.3">
      <c r="A3" t="s">
        <v>54</v>
      </c>
      <c r="B3" s="154">
        <v>0</v>
      </c>
      <c r="C3" s="154">
        <v>239.2989</v>
      </c>
      <c r="D3" s="154">
        <f>'BPA Load Following Customers'!C2+'BPA Load Following Customers'!D2</f>
        <v>5211.7011000000002</v>
      </c>
      <c r="E3" s="154">
        <v>0</v>
      </c>
      <c r="F3" s="154">
        <v>104.5736193</v>
      </c>
      <c r="G3" s="154">
        <v>104.5736193</v>
      </c>
      <c r="H3" s="164">
        <v>1.9184300000000001E-2</v>
      </c>
    </row>
    <row r="4" spans="1:8" x14ac:dyDescent="0.3">
      <c r="A4" t="s">
        <v>60</v>
      </c>
      <c r="B4" s="154">
        <v>0</v>
      </c>
      <c r="C4" s="154">
        <v>198.12070000000017</v>
      </c>
      <c r="D4" s="154">
        <f>'BPA Load Following Customers'!C3+'BPA Load Following Customers'!D3</f>
        <v>4314.8792999999996</v>
      </c>
      <c r="E4" s="154">
        <v>0</v>
      </c>
      <c r="F4" s="154">
        <v>86.578745900000072</v>
      </c>
      <c r="G4" s="154">
        <v>86.578745900000072</v>
      </c>
      <c r="H4" s="164">
        <v>1.9184300000000015E-2</v>
      </c>
    </row>
    <row r="5" spans="1:8" x14ac:dyDescent="0.3">
      <c r="A5" t="s">
        <v>62</v>
      </c>
      <c r="B5" s="154">
        <v>808</v>
      </c>
      <c r="C5" s="154">
        <v>135</v>
      </c>
      <c r="D5" s="154">
        <v>33871</v>
      </c>
      <c r="E5" s="154">
        <v>866.89591183999994</v>
      </c>
      <c r="F5" s="154">
        <v>58.994999999999997</v>
      </c>
      <c r="G5" s="154">
        <v>925.89091183999994</v>
      </c>
      <c r="H5" s="164">
        <v>1.6945768943528465E-3</v>
      </c>
    </row>
    <row r="6" spans="1:8" x14ac:dyDescent="0.3">
      <c r="A6" t="s">
        <v>17</v>
      </c>
      <c r="B6" s="154">
        <f>Avista!D3</f>
        <v>3207386.6890000002</v>
      </c>
      <c r="C6" s="154">
        <f>Avista!D4</f>
        <v>286392</v>
      </c>
      <c r="D6" s="154">
        <f>Avista!D5</f>
        <v>1214816.6699999997</v>
      </c>
      <c r="E6" s="154">
        <f>Avista!E3</f>
        <v>1777285.2240696643</v>
      </c>
      <c r="F6" s="154">
        <f>Avista!E4</f>
        <v>125153.304</v>
      </c>
      <c r="G6" s="154">
        <f>Avista!E6</f>
        <v>1902438.5280696643</v>
      </c>
      <c r="H6" s="164">
        <f>Avista!F6</f>
        <v>0.40403525531947587</v>
      </c>
    </row>
    <row r="7" spans="1:8" x14ac:dyDescent="0.3">
      <c r="A7" t="s">
        <v>19</v>
      </c>
      <c r="B7" s="154">
        <f>'Benton PUD'!D3</f>
        <v>0</v>
      </c>
      <c r="C7" s="154">
        <f>'Benton PUD'!D4</f>
        <v>72062.432056857026</v>
      </c>
      <c r="D7" s="154">
        <f>'Benton PUD'!D5</f>
        <v>1729795.4201407912</v>
      </c>
      <c r="E7" s="154">
        <f>'Benton PUD'!E3</f>
        <v>0</v>
      </c>
      <c r="F7" s="154">
        <f>'Benton PUD'!E4</f>
        <v>31491.282808846521</v>
      </c>
      <c r="G7" s="154">
        <f>'Benton PUD'!E6</f>
        <v>31491.282808846521</v>
      </c>
      <c r="H7" s="164">
        <f>'Benton PUD'!F6</f>
        <v>1.7477118281243976E-2</v>
      </c>
    </row>
    <row r="8" spans="1:8" x14ac:dyDescent="0.3">
      <c r="A8" t="s">
        <v>63</v>
      </c>
      <c r="B8" s="154">
        <v>0</v>
      </c>
      <c r="C8" s="154">
        <v>23482.680700000004</v>
      </c>
      <c r="D8" s="154">
        <f>'BPA Load Following Customers'!C4+'BPA Load Following Customers'!D4</f>
        <v>511430.31929999997</v>
      </c>
      <c r="E8" s="154">
        <v>0</v>
      </c>
      <c r="F8" s="154">
        <v>10261.931465900001</v>
      </c>
      <c r="G8" s="154">
        <v>10261.931465900001</v>
      </c>
      <c r="H8" s="164">
        <v>1.9184300000000001E-2</v>
      </c>
    </row>
    <row r="9" spans="1:8" x14ac:dyDescent="0.3">
      <c r="A9" t="s">
        <v>21</v>
      </c>
      <c r="B9" s="154">
        <f>'Big Bend Electric Coop'!D3</f>
        <v>0</v>
      </c>
      <c r="C9" s="154">
        <f>'Big Bend Electric Coop'!D4</f>
        <v>62305</v>
      </c>
      <c r="D9" s="154">
        <f>'Big Bend Electric Coop'!D5</f>
        <v>541152.09422309999</v>
      </c>
      <c r="E9" s="154">
        <f>'Big Bend Electric Coop'!E3</f>
        <v>0</v>
      </c>
      <c r="F9" s="154">
        <f>'Big Bend Electric Coop'!E4</f>
        <v>2722.7285000000002</v>
      </c>
      <c r="G9" s="154">
        <f>'Big Bend Electric Coop'!E6</f>
        <v>2722.7285000000002</v>
      </c>
      <c r="H9" s="164">
        <f>'Big Bend Electric Coop'!F6</f>
        <v>4.5118841522698199E-3</v>
      </c>
    </row>
    <row r="10" spans="1:8" x14ac:dyDescent="0.3">
      <c r="A10" t="s">
        <v>23</v>
      </c>
      <c r="B10" s="154">
        <f>'Centralia City Light'!D3</f>
        <v>37345</v>
      </c>
      <c r="C10" s="154">
        <f>'Centralia City Light'!D4</f>
        <v>8250</v>
      </c>
      <c r="D10" s="154">
        <f>'Centralia City Light'!D5</f>
        <v>219652</v>
      </c>
      <c r="E10" s="154">
        <f>'Centralia City Light'!E3</f>
        <v>41766.516476277495</v>
      </c>
      <c r="F10" s="154">
        <f>'Centralia City Light'!E4</f>
        <v>3605.25</v>
      </c>
      <c r="G10" s="154">
        <f>'Centralia City Light'!E6</f>
        <v>45371.766476277495</v>
      </c>
      <c r="H10" s="164">
        <f>'Centralia City Light'!F6</f>
        <v>0.17105477715592446</v>
      </c>
    </row>
    <row r="11" spans="1:8" x14ac:dyDescent="0.3">
      <c r="A11" t="s">
        <v>25</v>
      </c>
      <c r="B11" s="154">
        <f>'Chelan PUD'!D3</f>
        <v>0</v>
      </c>
      <c r="C11" s="154">
        <f>'Chelan PUD'!D4</f>
        <v>0</v>
      </c>
      <c r="D11" s="154">
        <f>'Chelan PUD'!D5</f>
        <v>1663746</v>
      </c>
      <c r="E11" s="154">
        <f>'Chelan PUD'!E3</f>
        <v>0</v>
      </c>
      <c r="F11" s="154">
        <f>'Chelan PUD'!E4</f>
        <v>0</v>
      </c>
      <c r="G11" s="154">
        <f>'Chelan PUD'!E6</f>
        <v>0</v>
      </c>
      <c r="H11" s="164">
        <f>'Chelan PUD'!F6</f>
        <v>0</v>
      </c>
    </row>
    <row r="12" spans="1:8" x14ac:dyDescent="0.3">
      <c r="A12" t="s">
        <v>64</v>
      </c>
      <c r="B12" s="154">
        <v>0</v>
      </c>
      <c r="C12" s="154">
        <v>14573.676999999994</v>
      </c>
      <c r="D12" s="154">
        <f>'BPA Load Following Customers'!C5+'BPA Load Following Customers'!D5</f>
        <v>126616.323</v>
      </c>
      <c r="E12" s="154">
        <v>0</v>
      </c>
      <c r="F12" s="154">
        <v>6368.6968489999972</v>
      </c>
      <c r="G12" s="154">
        <v>6368.6968489999972</v>
      </c>
      <c r="H12" s="164">
        <v>4.809104318507889E-2</v>
      </c>
    </row>
    <row r="13" spans="1:8" x14ac:dyDescent="0.3">
      <c r="A13" t="s">
        <v>65</v>
      </c>
      <c r="B13" s="154">
        <v>0</v>
      </c>
      <c r="C13" s="154">
        <v>914.39310000000069</v>
      </c>
      <c r="D13" s="154">
        <f>'BPA Load Following Customers'!C6+'BPA Load Following Customers'!D6</f>
        <v>19914.606899999999</v>
      </c>
      <c r="E13" s="154">
        <v>0</v>
      </c>
      <c r="F13" s="154">
        <v>399.58978470000028</v>
      </c>
      <c r="G13" s="154">
        <v>399.58978470000028</v>
      </c>
      <c r="H13" s="164">
        <v>1.9184300000000012E-2</v>
      </c>
    </row>
    <row r="14" spans="1:8" x14ac:dyDescent="0.3">
      <c r="A14" t="s">
        <v>66</v>
      </c>
      <c r="B14" s="154">
        <v>0</v>
      </c>
      <c r="C14" s="154">
        <v>3532.8086000000076</v>
      </c>
      <c r="D14" s="154">
        <f>'BPA Load Following Customers'!C7+'BPA Load Following Customers'!D7</f>
        <v>76941.191399999996</v>
      </c>
      <c r="E14" s="154">
        <v>0</v>
      </c>
      <c r="F14" s="154">
        <v>1543.8373582000033</v>
      </c>
      <c r="G14" s="154">
        <v>1543.8373582000033</v>
      </c>
      <c r="H14" s="164">
        <v>1.9184300000000043E-2</v>
      </c>
    </row>
    <row r="15" spans="1:8" x14ac:dyDescent="0.3">
      <c r="A15" t="s">
        <v>113</v>
      </c>
      <c r="B15" s="154">
        <v>0</v>
      </c>
      <c r="C15" s="154">
        <f>'Clallam PUD'!D4</f>
        <v>29283</v>
      </c>
      <c r="D15" s="154">
        <f>'Clallam PUD'!D5</f>
        <v>647305</v>
      </c>
      <c r="E15" s="154">
        <f>'Clallam PUD'!E3</f>
        <v>0</v>
      </c>
      <c r="F15" s="154">
        <f>'Clallam PUD'!E4</f>
        <v>12796.671</v>
      </c>
      <c r="G15" s="154">
        <f>'Clallam PUD'!E6</f>
        <v>12796.671</v>
      </c>
      <c r="H15" s="164">
        <f>'Clallam PUD'!F6</f>
        <v>1.8913535268139547E-2</v>
      </c>
    </row>
    <row r="16" spans="1:8" x14ac:dyDescent="0.3">
      <c r="A16" t="s">
        <v>112</v>
      </c>
      <c r="B16" s="154">
        <f>'Clark PUD'!D3</f>
        <v>1617134.7</v>
      </c>
      <c r="C16" s="154">
        <f>'Clark PUD'!D4</f>
        <v>444855</v>
      </c>
      <c r="D16" s="154">
        <f>'Clark PUD'!D5</f>
        <v>3081475.0562999998</v>
      </c>
      <c r="E16" s="154">
        <f>'Clark PUD'!E3</f>
        <v>636703.12419988401</v>
      </c>
      <c r="F16" s="154">
        <f>'Clark PUD'!E4</f>
        <v>194401.63500000001</v>
      </c>
      <c r="G16" s="154">
        <f>'Clark PUD'!E6</f>
        <v>831104.75919988402</v>
      </c>
      <c r="H16" s="164">
        <f>'Clark PUD'!F6</f>
        <v>0.16158461243112457</v>
      </c>
    </row>
    <row r="17" spans="1:8" x14ac:dyDescent="0.3">
      <c r="A17" t="s">
        <v>29</v>
      </c>
      <c r="B17" s="154">
        <f>'Clearwater Power'!D3</f>
        <v>0</v>
      </c>
      <c r="C17" s="154">
        <f>'Clearwater Power'!D4</f>
        <v>971.553</v>
      </c>
      <c r="D17" s="154">
        <f>'Clearwater Power'!D5</f>
        <v>21043.263999999999</v>
      </c>
      <c r="E17" s="154">
        <f>'Clearwater Power'!E3</f>
        <v>0</v>
      </c>
      <c r="F17" s="154">
        <f>'Clearwater Power'!E4</f>
        <v>424.56866100000002</v>
      </c>
      <c r="G17" s="154">
        <f>'Clearwater Power'!E6</f>
        <v>424.56866100000002</v>
      </c>
      <c r="H17" s="164">
        <f>'Clearwater Power'!F6</f>
        <v>1.9285586657386253E-2</v>
      </c>
    </row>
    <row r="18" spans="1:8" x14ac:dyDescent="0.3">
      <c r="A18" s="16" t="s">
        <v>67</v>
      </c>
      <c r="B18" s="154">
        <v>0</v>
      </c>
      <c r="C18" s="154">
        <v>48132.089500000016</v>
      </c>
      <c r="D18" s="154">
        <f>'BPA Load Following Customers'!C8+'BPA Load Following Customers'!D8</f>
        <v>328233.9105</v>
      </c>
      <c r="E18" s="154">
        <v>0</v>
      </c>
      <c r="F18" s="154">
        <v>21033.723111500007</v>
      </c>
      <c r="G18" s="154">
        <v>21033.723111500007</v>
      </c>
      <c r="H18" s="164">
        <v>6.1268327322643153E-2</v>
      </c>
    </row>
    <row r="19" spans="1:8" x14ac:dyDescent="0.3">
      <c r="A19" t="s">
        <v>68</v>
      </c>
      <c r="B19" s="154">
        <v>0</v>
      </c>
      <c r="C19" s="154">
        <v>108.16960000000017</v>
      </c>
      <c r="D19" s="154">
        <f>'BPA Load Following Customers'!C9+'BPA Load Following Customers'!D9</f>
        <v>2355.8303999999998</v>
      </c>
      <c r="E19" s="154">
        <v>0</v>
      </c>
      <c r="F19" s="154">
        <v>47.270115200000077</v>
      </c>
      <c r="G19" s="154">
        <v>47.270115200000077</v>
      </c>
      <c r="H19" s="164">
        <v>1.9184300000000033E-2</v>
      </c>
    </row>
    <row r="20" spans="1:8" x14ac:dyDescent="0.3">
      <c r="A20" t="s">
        <v>69</v>
      </c>
      <c r="B20" s="154">
        <v>0</v>
      </c>
      <c r="C20" s="154">
        <v>746.03659999999968</v>
      </c>
      <c r="D20" s="154">
        <f>'BPA Load Following Customers'!C10+'BPA Load Following Customers'!D10</f>
        <v>16247.963400000001</v>
      </c>
      <c r="E20" s="154">
        <v>0</v>
      </c>
      <c r="F20" s="154">
        <v>326.01799419999986</v>
      </c>
      <c r="G20" s="154">
        <v>326.01799419999986</v>
      </c>
      <c r="H20" s="164">
        <v>1.9184299999999991E-2</v>
      </c>
    </row>
    <row r="21" spans="1:8" x14ac:dyDescent="0.3">
      <c r="A21" t="s">
        <v>80</v>
      </c>
      <c r="B21" s="154">
        <f>'Cowlitz PUD'!D3</f>
        <v>0</v>
      </c>
      <c r="C21" s="154">
        <f>'Cowlitz PUD'!D4</f>
        <v>421917</v>
      </c>
      <c r="D21" s="154">
        <f>'Cowlitz PUD'!D5</f>
        <v>3771729</v>
      </c>
      <c r="E21" s="154">
        <f>'Cowlitz PUD'!E3</f>
        <v>0</v>
      </c>
      <c r="F21" s="154">
        <f>'Cowlitz PUD'!E4</f>
        <v>184378</v>
      </c>
      <c r="G21" s="154">
        <f>'Cowlitz PUD'!E6</f>
        <v>184378</v>
      </c>
      <c r="H21" s="164">
        <f>'Cowlitz PUD'!F6</f>
        <v>4.3999999999999997E-2</v>
      </c>
    </row>
    <row r="22" spans="1:8" x14ac:dyDescent="0.3">
      <c r="A22" t="s">
        <v>81</v>
      </c>
      <c r="B22" s="154">
        <f>'Douglas County PUD'!D3</f>
        <v>0</v>
      </c>
      <c r="C22" s="154">
        <f>'Douglas County PUD'!D4</f>
        <v>261402</v>
      </c>
      <c r="D22" s="154">
        <f>'Douglas County PUD'!D5</f>
        <v>731389</v>
      </c>
      <c r="E22" s="154">
        <f>'Douglas County PUD'!E3</f>
        <v>0</v>
      </c>
      <c r="F22" s="154">
        <f>'Douglas County PUD'!E4</f>
        <v>114232.674</v>
      </c>
      <c r="G22" s="154">
        <f>'Douglas County PUD'!E6</f>
        <v>114232.674</v>
      </c>
      <c r="H22" s="164">
        <f>'Douglas County PUD'!F6</f>
        <v>0.11506215709046516</v>
      </c>
    </row>
    <row r="23" spans="1:8" x14ac:dyDescent="0.3">
      <c r="A23" t="s">
        <v>70</v>
      </c>
      <c r="B23" s="154">
        <v>0</v>
      </c>
      <c r="C23" s="154">
        <v>1217.8738000000012</v>
      </c>
      <c r="D23" s="154">
        <f>'BPA Load Following Customers'!C11+'BPA Load Following Customers'!D11</f>
        <v>26524.126199999999</v>
      </c>
      <c r="E23" s="154">
        <v>0</v>
      </c>
      <c r="F23" s="154">
        <v>532.21085060000053</v>
      </c>
      <c r="G23" s="154">
        <v>532.21085060000053</v>
      </c>
      <c r="H23" s="164">
        <v>1.9184300000000019E-2</v>
      </c>
    </row>
    <row r="24" spans="1:8" x14ac:dyDescent="0.3">
      <c r="A24" t="s">
        <v>71</v>
      </c>
      <c r="B24" s="154">
        <v>0</v>
      </c>
      <c r="C24" s="154">
        <v>8853.7959000000083</v>
      </c>
      <c r="D24" s="154">
        <f>'BPA Load Following Customers'!C12+'BPA Load Following Customers'!D12</f>
        <v>192827.2041</v>
      </c>
      <c r="E24" s="154">
        <v>0</v>
      </c>
      <c r="F24" s="154">
        <v>3869.1088083000036</v>
      </c>
      <c r="G24" s="154">
        <v>3869.1088083000036</v>
      </c>
      <c r="H24" s="164">
        <v>1.9184300000000019E-2</v>
      </c>
    </row>
    <row r="25" spans="1:8" x14ac:dyDescent="0.3">
      <c r="A25" t="s">
        <v>72</v>
      </c>
      <c r="B25" s="154">
        <v>0</v>
      </c>
      <c r="C25" s="154">
        <v>12347.972500000011</v>
      </c>
      <c r="D25" s="154">
        <f>'BPA Load Following Customers'!C13+'BPA Load Following Customers'!D13</f>
        <v>268927.02749999997</v>
      </c>
      <c r="E25" s="154">
        <v>0</v>
      </c>
      <c r="F25" s="154">
        <v>5396.0639825000044</v>
      </c>
      <c r="G25" s="154">
        <v>5396.0639825000044</v>
      </c>
      <c r="H25" s="164">
        <v>1.9184300000000015E-2</v>
      </c>
    </row>
    <row r="26" spans="1:8" x14ac:dyDescent="0.3">
      <c r="A26" t="s">
        <v>73</v>
      </c>
      <c r="B26" s="154">
        <v>0</v>
      </c>
      <c r="C26" s="154">
        <v>1051.0976999999984</v>
      </c>
      <c r="D26" s="154">
        <f>'BPA Load Following Customers'!C14+'BPA Load Following Customers'!D14</f>
        <v>22891.902300000002</v>
      </c>
      <c r="E26" s="154">
        <v>0</v>
      </c>
      <c r="F26" s="154">
        <v>459.32969489999931</v>
      </c>
      <c r="G26" s="154">
        <v>459.32969489999931</v>
      </c>
      <c r="H26" s="164">
        <v>1.918429999999997E-2</v>
      </c>
    </row>
    <row r="27" spans="1:8" x14ac:dyDescent="0.3">
      <c r="A27" t="s">
        <v>74</v>
      </c>
      <c r="B27" s="154">
        <v>0</v>
      </c>
      <c r="C27" s="154">
        <v>1931.6878000000006</v>
      </c>
      <c r="D27" s="154">
        <f>'BPA Load Following Customers'!C15+'BPA Load Following Customers'!D15</f>
        <v>42070.3122</v>
      </c>
      <c r="E27" s="154">
        <v>0</v>
      </c>
      <c r="F27" s="154">
        <v>844.14756860000023</v>
      </c>
      <c r="G27" s="154">
        <v>844.14756860000023</v>
      </c>
      <c r="H27" s="164">
        <v>1.9184300000000005E-2</v>
      </c>
    </row>
    <row r="28" spans="1:8" x14ac:dyDescent="0.3">
      <c r="A28" t="s">
        <v>114</v>
      </c>
      <c r="B28" s="154">
        <v>0</v>
      </c>
      <c r="C28" s="154">
        <v>3104.4763000000012</v>
      </c>
      <c r="D28" s="154">
        <f>'BPA Load Following Customers'!C16+'BPA Load Following Customers'!D16</f>
        <v>67612.523700000005</v>
      </c>
      <c r="E28" s="154">
        <v>0</v>
      </c>
      <c r="F28" s="154">
        <v>1356.6561431000005</v>
      </c>
      <c r="G28" s="154">
        <v>1356.6561431000005</v>
      </c>
      <c r="H28" s="164">
        <v>1.9184300000000005E-2</v>
      </c>
    </row>
    <row r="29" spans="1:8" x14ac:dyDescent="0.3">
      <c r="A29" t="s">
        <v>105</v>
      </c>
      <c r="B29" s="154">
        <v>0</v>
      </c>
      <c r="C29" s="154">
        <v>73860</v>
      </c>
      <c r="D29" s="154">
        <v>1006557</v>
      </c>
      <c r="E29" s="154">
        <v>0</v>
      </c>
      <c r="F29" s="154">
        <v>32276.82</v>
      </c>
      <c r="G29" s="154">
        <v>32276.82</v>
      </c>
      <c r="H29" s="164">
        <v>2.9874409602958858E-2</v>
      </c>
    </row>
    <row r="30" spans="1:8" x14ac:dyDescent="0.3">
      <c r="A30" t="s">
        <v>75</v>
      </c>
      <c r="B30" s="154">
        <v>0</v>
      </c>
      <c r="C30" s="154">
        <v>4016059</v>
      </c>
      <c r="D30" s="154">
        <v>1211004</v>
      </c>
      <c r="E30" s="154">
        <v>0</v>
      </c>
      <c r="F30" s="154">
        <v>1755017.7830000001</v>
      </c>
      <c r="G30" s="154">
        <v>1755017.7830000001</v>
      </c>
      <c r="H30" s="164">
        <v>0.33575600351478452</v>
      </c>
    </row>
    <row r="31" spans="1:8" x14ac:dyDescent="0.3">
      <c r="A31" t="s">
        <v>32</v>
      </c>
      <c r="B31" s="154">
        <v>8040</v>
      </c>
      <c r="C31" s="154">
        <v>39168</v>
      </c>
      <c r="D31" s="154">
        <f>755205+97398</f>
        <v>852603</v>
      </c>
      <c r="E31" s="160">
        <v>2.173045741042253</v>
      </c>
      <c r="F31" s="154">
        <f>C31*0.437</f>
        <v>17116.416000000001</v>
      </c>
      <c r="G31" s="154">
        <f>SUM(E31:F31)</f>
        <v>17118.589045741042</v>
      </c>
      <c r="H31" s="164">
        <f>G31/SUM(B31:D31)</f>
        <v>1.9024649671698882E-2</v>
      </c>
    </row>
    <row r="32" spans="1:8" x14ac:dyDescent="0.3">
      <c r="A32" t="s">
        <v>76</v>
      </c>
      <c r="B32" s="154">
        <v>0</v>
      </c>
      <c r="C32" s="154">
        <v>43703.635300000053</v>
      </c>
      <c r="D32" s="154">
        <f>'BPA Load Following Customers'!C17+'BPA Load Following Customers'!D17</f>
        <v>951823.36469999992</v>
      </c>
      <c r="E32" s="154">
        <v>0</v>
      </c>
      <c r="F32" s="154">
        <v>19098.488626100025</v>
      </c>
      <c r="G32" s="154">
        <v>19098.488626100025</v>
      </c>
      <c r="H32" s="164">
        <v>1.9184300000000026E-2</v>
      </c>
    </row>
    <row r="33" spans="1:8" x14ac:dyDescent="0.3">
      <c r="A33" t="s">
        <v>115</v>
      </c>
      <c r="B33" s="154">
        <v>0</v>
      </c>
      <c r="C33" s="154">
        <v>17341.246299999984</v>
      </c>
      <c r="D33" s="154">
        <f>'BPA Load Following Customers'!C18+'BPA Load Following Customers'!D18</f>
        <v>377675.7537</v>
      </c>
      <c r="E33" s="154">
        <v>0</v>
      </c>
      <c r="F33" s="154">
        <v>7578.1246330999929</v>
      </c>
      <c r="G33" s="154">
        <v>7578.1246330999929</v>
      </c>
      <c r="H33" s="164">
        <v>1.9184299999999981E-2</v>
      </c>
    </row>
    <row r="34" spans="1:8" x14ac:dyDescent="0.3">
      <c r="A34" s="140" t="s">
        <v>77</v>
      </c>
      <c r="B34" s="154">
        <v>0</v>
      </c>
      <c r="C34" s="154">
        <v>1218.0054999999998</v>
      </c>
      <c r="D34" s="154">
        <f>'BPA Load Following Customers'!C19+'BPA Load Following Customers'!D19</f>
        <v>26526.994500000001</v>
      </c>
      <c r="E34" s="154">
        <v>0</v>
      </c>
      <c r="F34" s="154">
        <v>532.26840349999986</v>
      </c>
      <c r="G34" s="154">
        <v>532.26840349999986</v>
      </c>
      <c r="H34" s="164">
        <v>1.9184299999999994E-2</v>
      </c>
    </row>
    <row r="35" spans="1:8" x14ac:dyDescent="0.3">
      <c r="A35" s="140" t="s">
        <v>116</v>
      </c>
      <c r="B35" s="154">
        <v>0</v>
      </c>
      <c r="C35" s="154">
        <v>5103.1512000000075</v>
      </c>
      <c r="D35" s="154">
        <f>'BPA Load Following Customers'!C20+'BPA Load Following Customers'!D20</f>
        <v>107090.84879999999</v>
      </c>
      <c r="E35" s="154">
        <v>0</v>
      </c>
      <c r="F35" s="154">
        <v>2230.0770744000033</v>
      </c>
      <c r="G35" s="154">
        <v>2230.0770744000033</v>
      </c>
      <c r="H35" s="164">
        <v>1.9909980308549419E-2</v>
      </c>
    </row>
    <row r="36" spans="1:8" x14ac:dyDescent="0.3">
      <c r="A36" s="140" t="s">
        <v>35</v>
      </c>
      <c r="B36" s="154">
        <f>'Klickitat PUD'!D3</f>
        <v>0</v>
      </c>
      <c r="C36" s="154">
        <f>'Klickitat PUD'!D4</f>
        <v>80950</v>
      </c>
      <c r="D36" s="154">
        <f>'Klickitat PUD'!D5</f>
        <v>419813</v>
      </c>
      <c r="E36" s="154">
        <f>'Klickitat PUD'!E3</f>
        <v>0</v>
      </c>
      <c r="F36" s="154">
        <f>'Klickitat PUD'!E4</f>
        <v>35375.15</v>
      </c>
      <c r="G36" s="154">
        <f>'Klickitat PUD'!E6</f>
        <v>35375.15</v>
      </c>
      <c r="H36" s="164">
        <f>'Klickitat PUD'!F6</f>
        <v>7.064249954569328E-2</v>
      </c>
    </row>
    <row r="37" spans="1:8" x14ac:dyDescent="0.3">
      <c r="A37" s="140" t="s">
        <v>78</v>
      </c>
      <c r="B37" s="154">
        <v>0</v>
      </c>
      <c r="C37" s="154">
        <v>11313.512900000009</v>
      </c>
      <c r="D37" s="154">
        <f>'BPA Load Following Customers'!C21+'BPA Load Following Customers'!D21</f>
        <v>246397.4871</v>
      </c>
      <c r="E37" s="154">
        <v>0</v>
      </c>
      <c r="F37" s="154">
        <v>4944.0051373000042</v>
      </c>
      <c r="G37" s="154">
        <v>4944.0051373000042</v>
      </c>
      <c r="H37" s="164">
        <v>1.9184300000000015E-2</v>
      </c>
    </row>
    <row r="38" spans="1:8" x14ac:dyDescent="0.3">
      <c r="A38" s="140" t="s">
        <v>79</v>
      </c>
      <c r="B38" s="154">
        <f>'Lewis County PUD'!D3</f>
        <v>0</v>
      </c>
      <c r="C38" s="154">
        <f>'Lewis County PUD'!D4</f>
        <v>38578.050000000003</v>
      </c>
      <c r="D38" s="154">
        <f>'Lewis County PUD'!D5</f>
        <v>904157.75</v>
      </c>
      <c r="E38" s="154">
        <f>'Lewis County PUD'!E3</f>
        <v>0</v>
      </c>
      <c r="F38" s="154">
        <f>'Lewis County PUD'!E4</f>
        <v>16858.60785</v>
      </c>
      <c r="G38" s="154">
        <f>'Lewis County PUD'!E6</f>
        <v>16858.60785</v>
      </c>
      <c r="H38" s="164">
        <f>'Lewis County PUD'!F6</f>
        <v>1.7882643101068189E-2</v>
      </c>
    </row>
    <row r="39" spans="1:8" x14ac:dyDescent="0.3">
      <c r="A39" s="140" t="s">
        <v>117</v>
      </c>
      <c r="B39" s="154">
        <f>' Mason County PUD 1'!D3</f>
        <v>0</v>
      </c>
      <c r="C39" s="154">
        <f>' Mason County PUD 1'!D4</f>
        <v>3231</v>
      </c>
      <c r="D39" s="154">
        <f>' Mason County PUD 1'!D5</f>
        <v>75542</v>
      </c>
      <c r="E39" s="154">
        <f>' Mason County PUD 1'!E3</f>
        <v>0</v>
      </c>
      <c r="F39" s="154">
        <f>' Mason County PUD 1'!E4</f>
        <v>1411.9469999999999</v>
      </c>
      <c r="G39" s="154">
        <f>' Mason County PUD 1'!E6</f>
        <v>1411.9469999999999</v>
      </c>
      <c r="H39" s="164">
        <f>' Mason County PUD 1'!F6</f>
        <v>1.7924250695035098E-2</v>
      </c>
    </row>
    <row r="40" spans="1:8" x14ac:dyDescent="0.3">
      <c r="A40" s="140" t="s">
        <v>37</v>
      </c>
      <c r="B40" s="154">
        <f>'Mason County PUD 3'!D3</f>
        <v>0</v>
      </c>
      <c r="C40" s="154">
        <f>'Mason County PUD 3'!D4</f>
        <v>29247</v>
      </c>
      <c r="D40" s="154">
        <f>'Mason County PUD 3'!D5</f>
        <v>665385</v>
      </c>
      <c r="E40" s="154">
        <f>'Mason County PUD 3'!E3</f>
        <v>0</v>
      </c>
      <c r="F40" s="154">
        <f>'Mason County PUD 3'!E4</f>
        <v>12780.939</v>
      </c>
      <c r="G40" s="154">
        <f>'Mason County PUD 3'!E6</f>
        <v>12780.939</v>
      </c>
      <c r="H40" s="164">
        <f>'Mason County PUD 3'!F6</f>
        <v>1.8399582800677199E-2</v>
      </c>
    </row>
    <row r="41" spans="1:8" x14ac:dyDescent="0.3">
      <c r="A41" s="140" t="s">
        <v>82</v>
      </c>
      <c r="B41" s="154">
        <v>0</v>
      </c>
      <c r="C41" s="154">
        <v>1351.0663999999997</v>
      </c>
      <c r="D41" s="154">
        <f>'BPA Load Following Customers'!C23+'BPA Load Following Customers'!D23</f>
        <v>29424.9336</v>
      </c>
      <c r="E41" s="154">
        <v>0</v>
      </c>
      <c r="F41" s="154">
        <v>590.41601679999985</v>
      </c>
      <c r="G41" s="154">
        <v>590.41601679999985</v>
      </c>
      <c r="H41" s="164">
        <v>1.9184299999999994E-2</v>
      </c>
    </row>
    <row r="42" spans="1:8" x14ac:dyDescent="0.3">
      <c r="A42" s="140" t="s">
        <v>83</v>
      </c>
      <c r="B42" s="154">
        <v>0</v>
      </c>
      <c r="C42" s="154">
        <v>2491.1932999999999</v>
      </c>
      <c r="D42" s="154">
        <f>'BPA Load Following Customers'!C24+'BPA Load Following Customers'!D24</f>
        <v>54255.806700000001</v>
      </c>
      <c r="E42" s="154">
        <v>0</v>
      </c>
      <c r="F42" s="154">
        <v>1088.6514720999999</v>
      </c>
      <c r="G42" s="154">
        <v>1088.6514720999999</v>
      </c>
      <c r="H42" s="164">
        <v>1.9184299999999998E-2</v>
      </c>
    </row>
    <row r="43" spans="1:8" x14ac:dyDescent="0.3">
      <c r="A43" s="140" t="s">
        <v>84</v>
      </c>
      <c r="B43" s="154">
        <v>0</v>
      </c>
      <c r="C43" s="154">
        <v>10214.651999999987</v>
      </c>
      <c r="D43" s="154">
        <f>'BPA Load Following Customers'!C25+'BPA Load Following Customers'!D25</f>
        <v>222465.348</v>
      </c>
      <c r="E43" s="154">
        <v>0</v>
      </c>
      <c r="F43" s="154">
        <v>4463.8029239999942</v>
      </c>
      <c r="G43" s="154">
        <v>4463.8029239999942</v>
      </c>
      <c r="H43" s="164">
        <v>1.9184299999999974E-2</v>
      </c>
    </row>
    <row r="44" spans="1:8" x14ac:dyDescent="0.3">
      <c r="A44" s="140" t="s">
        <v>85</v>
      </c>
      <c r="B44" s="154">
        <v>0</v>
      </c>
      <c r="C44" s="154">
        <v>2882.7373999999991</v>
      </c>
      <c r="D44" s="154">
        <f>'BPA Load Following Customers'!C26+'BPA Load Following Customers'!D26</f>
        <v>62783.262600000002</v>
      </c>
      <c r="E44" s="154">
        <v>0</v>
      </c>
      <c r="F44" s="154">
        <v>1259.7562437999995</v>
      </c>
      <c r="G44" s="154">
        <v>1259.7562437999995</v>
      </c>
      <c r="H44" s="164">
        <v>1.9184299999999994E-2</v>
      </c>
    </row>
    <row r="45" spans="1:8" x14ac:dyDescent="0.3">
      <c r="A45" s="140" t="s">
        <v>86</v>
      </c>
      <c r="B45" s="154">
        <v>0</v>
      </c>
      <c r="C45" s="154">
        <v>5</v>
      </c>
      <c r="D45" s="154">
        <v>117</v>
      </c>
      <c r="E45" s="154">
        <v>0</v>
      </c>
      <c r="F45" s="154">
        <v>2.1850000000000001</v>
      </c>
      <c r="G45" s="154">
        <v>2.1850000000000001</v>
      </c>
      <c r="H45" s="164">
        <v>1.7909836065573771E-2</v>
      </c>
    </row>
    <row r="46" spans="1:8" x14ac:dyDescent="0.3">
      <c r="A46" s="140" t="s">
        <v>87</v>
      </c>
      <c r="B46" s="154">
        <v>0</v>
      </c>
      <c r="C46" s="154">
        <v>3986.207800000002</v>
      </c>
      <c r="D46" s="154">
        <f>'BPA Load Following Customers'!C27+'BPA Load Following Customers'!D27</f>
        <v>86815.792199999996</v>
      </c>
      <c r="E46" s="154">
        <v>0</v>
      </c>
      <c r="F46" s="154">
        <v>1741.9728086000009</v>
      </c>
      <c r="G46" s="154">
        <v>1741.9728086000009</v>
      </c>
      <c r="H46" s="164">
        <v>1.9184300000000012E-2</v>
      </c>
    </row>
    <row r="47" spans="1:8" x14ac:dyDescent="0.3">
      <c r="A47" s="140" t="s">
        <v>88</v>
      </c>
      <c r="B47" s="154">
        <v>0</v>
      </c>
      <c r="C47" s="154">
        <v>2787.2988000000023</v>
      </c>
      <c r="D47" s="154">
        <f>'BPA Load Following Customers'!C28+'BPA Load Following Customers'!D28</f>
        <v>60704.701199999996</v>
      </c>
      <c r="E47" s="154">
        <v>0</v>
      </c>
      <c r="F47" s="154">
        <v>1218.0495756000009</v>
      </c>
      <c r="G47" s="154">
        <v>1218.0495756000009</v>
      </c>
      <c r="H47" s="164">
        <v>1.9184300000000015E-2</v>
      </c>
    </row>
    <row r="48" spans="1:8" x14ac:dyDescent="0.3">
      <c r="A48" s="140" t="s">
        <v>118</v>
      </c>
      <c r="B48" s="154">
        <f>'Okanogan PUD 1'!D3</f>
        <v>11172.5</v>
      </c>
      <c r="C48" s="154">
        <f>'Okanogan PUD 1'!D4</f>
        <v>41724</v>
      </c>
      <c r="D48" s="154">
        <f>'Okanogan PUD 1'!D5</f>
        <v>590653.94999999995</v>
      </c>
      <c r="E48" s="154">
        <f>'Okanogan PUD 1'!E3</f>
        <v>4716.8779999999997</v>
      </c>
      <c r="F48" s="154">
        <f>'Okanogan PUD 1'!E4</f>
        <v>18233.387999999999</v>
      </c>
      <c r="G48" s="154">
        <f>'Okanogan PUD 1'!E6</f>
        <v>22950.266</v>
      </c>
      <c r="H48" s="164">
        <f>'Okanogan PUD 1'!F6</f>
        <v>3.5661953153789269E-2</v>
      </c>
    </row>
    <row r="49" spans="1:8" x14ac:dyDescent="0.3">
      <c r="A49" s="140" t="s">
        <v>41</v>
      </c>
      <c r="B49" s="154">
        <f>'Orcas Power &amp; Light'!D3</f>
        <v>0</v>
      </c>
      <c r="C49" s="154">
        <f>'Orcas Power &amp; Light'!D4</f>
        <v>9873.4159999999993</v>
      </c>
      <c r="D49" s="154">
        <f>'Orcas Power &amp; Light'!D5</f>
        <v>215033.55499999999</v>
      </c>
      <c r="E49" s="154">
        <f>'Orcas Power &amp; Light'!E3</f>
        <v>0</v>
      </c>
      <c r="F49" s="154">
        <f>'Orcas Power &amp; Light'!E4</f>
        <v>4314.6827919999996</v>
      </c>
      <c r="G49" s="154">
        <f>'Orcas Power &amp; Light'!E6</f>
        <v>4314.6827919999996</v>
      </c>
      <c r="H49" s="164">
        <f>'Orcas Power &amp; Light'!F6</f>
        <v>1.918429994773261E-2</v>
      </c>
    </row>
    <row r="50" spans="1:8" x14ac:dyDescent="0.3">
      <c r="A50" s="140" t="s">
        <v>89</v>
      </c>
      <c r="B50" s="154">
        <v>0</v>
      </c>
      <c r="C50" s="154">
        <v>28878.872599999995</v>
      </c>
      <c r="D50" s="154">
        <f>'BPA Load Following Customers'!C29+'BPA Load Following Customers'!D29</f>
        <v>281317.1274</v>
      </c>
      <c r="E50" s="154">
        <v>0</v>
      </c>
      <c r="F50" s="154">
        <v>12620.067326199998</v>
      </c>
      <c r="G50" s="154">
        <v>12620.067326199998</v>
      </c>
      <c r="H50" s="164">
        <v>4.2891261126178477E-2</v>
      </c>
    </row>
    <row r="51" spans="1:8" x14ac:dyDescent="0.3">
      <c r="A51" s="140" t="s">
        <v>44</v>
      </c>
      <c r="B51" s="154">
        <f>PacifiCorp!D3</f>
        <v>2415188.5121475402</v>
      </c>
      <c r="C51" s="154">
        <f>PacifiCorp!D4</f>
        <v>1121087.7908999999</v>
      </c>
      <c r="D51" s="154">
        <f>PacifiCorp!D5</f>
        <v>921505.87160514505</v>
      </c>
      <c r="E51" s="154">
        <f>PacifiCorp!E3</f>
        <v>1949739.0215378206</v>
      </c>
      <c r="F51" s="154">
        <f>PacifiCorp!E6</f>
        <v>2439654.3861611206</v>
      </c>
      <c r="G51" s="154">
        <f>PacifiCorp!E6</f>
        <v>2439654.3861611206</v>
      </c>
      <c r="H51" s="164">
        <f>PacifiCorp!F6</f>
        <v>0.54727985589632333</v>
      </c>
    </row>
    <row r="52" spans="1:8" x14ac:dyDescent="0.3">
      <c r="A52" s="140" t="s">
        <v>90</v>
      </c>
      <c r="B52" s="154">
        <v>0</v>
      </c>
      <c r="C52" s="154">
        <v>5061.4943999999941</v>
      </c>
      <c r="D52" s="154">
        <f>'BPA Load Following Customers'!C30+'BPA Load Following Customers'!D30</f>
        <v>110234.5056</v>
      </c>
      <c r="E52" s="154">
        <v>0</v>
      </c>
      <c r="F52" s="154">
        <v>2211.8730527999974</v>
      </c>
      <c r="G52" s="154">
        <v>2211.8730527999974</v>
      </c>
      <c r="H52" s="164">
        <v>1.9184299999999977E-2</v>
      </c>
    </row>
    <row r="53" spans="1:8" x14ac:dyDescent="0.3">
      <c r="A53" s="140" t="s">
        <v>91</v>
      </c>
      <c r="B53" s="154">
        <f>'Pend Oreille PUD 1'!D3</f>
        <v>0</v>
      </c>
      <c r="C53" s="154">
        <f>'Pend Oreille PUD 1'!D4</f>
        <v>74274</v>
      </c>
      <c r="D53" s="154">
        <f>'Pend Oreille PUD 1'!D5</f>
        <v>906285</v>
      </c>
      <c r="E53" s="154">
        <f>'Pend Oreille PUD 1'!E3</f>
        <v>0</v>
      </c>
      <c r="F53" s="154">
        <f>'Pend Oreille PUD 1'!E4</f>
        <v>32457.738000000001</v>
      </c>
      <c r="G53" s="154">
        <f>'Pend Oreille PUD 1'!E6</f>
        <v>32457.738000000001</v>
      </c>
      <c r="H53" s="164">
        <f>'Pend Oreille PUD 1'!F6</f>
        <v>3.3101259587643379E-2</v>
      </c>
    </row>
    <row r="54" spans="1:8" x14ac:dyDescent="0.3">
      <c r="A54" s="140" t="s">
        <v>46</v>
      </c>
      <c r="B54" s="154">
        <f>'Peninsula Light'!D3</f>
        <v>0</v>
      </c>
      <c r="C54" s="154">
        <f>'Peninsula Light'!D4</f>
        <v>26912.459029100002</v>
      </c>
      <c r="D54" s="154">
        <f>'Peninsula Light'!D5</f>
        <v>586127.6099709</v>
      </c>
      <c r="E54" s="154">
        <f>'Peninsula Light'!E3</f>
        <v>0</v>
      </c>
      <c r="F54" s="154">
        <f>'Peninsula Light'!E4</f>
        <v>11760.7445957167</v>
      </c>
      <c r="G54" s="154">
        <f>'Peninsula Light'!E6</f>
        <v>11760.7445957167</v>
      </c>
      <c r="H54" s="164">
        <f>'Peninsula Light'!F6</f>
        <v>1.9184300000000001E-2</v>
      </c>
    </row>
    <row r="55" spans="1:8" x14ac:dyDescent="0.3">
      <c r="A55" s="140" t="s">
        <v>93</v>
      </c>
      <c r="B55" s="154">
        <v>0</v>
      </c>
      <c r="C55" s="154">
        <v>11898.699900000011</v>
      </c>
      <c r="D55" s="154">
        <f>'BPA Load Following Customers'!C31+'BPA Load Following Customers'!D31</f>
        <v>259142.30009999999</v>
      </c>
      <c r="E55" s="154">
        <v>0</v>
      </c>
      <c r="F55" s="154">
        <v>5199.7318563000044</v>
      </c>
      <c r="G55" s="154">
        <v>5199.7318563000044</v>
      </c>
      <c r="H55" s="164">
        <v>1.9184300000000015E-2</v>
      </c>
    </row>
    <row r="56" spans="1:8" x14ac:dyDescent="0.3">
      <c r="A56" s="140" t="s">
        <v>94</v>
      </c>
      <c r="B56" s="154">
        <v>0</v>
      </c>
      <c r="C56" s="154">
        <v>5765.8699000000051</v>
      </c>
      <c r="D56" s="154">
        <f>'BPA Load Following Customers'!C32+'BPA Load Following Customers'!D32</f>
        <v>125575.13009999999</v>
      </c>
      <c r="E56" s="154">
        <v>0</v>
      </c>
      <c r="F56" s="154">
        <v>2519.6851463000021</v>
      </c>
      <c r="G56" s="154">
        <v>2519.6851463000021</v>
      </c>
      <c r="H56" s="164">
        <v>1.9184300000000015E-2</v>
      </c>
    </row>
    <row r="57" spans="1:8" x14ac:dyDescent="0.3">
      <c r="A57" s="140" t="s">
        <v>48</v>
      </c>
      <c r="B57" s="154">
        <f>'Puget Sound Energy'!D3</f>
        <v>10872573</v>
      </c>
      <c r="C57" s="154">
        <f>'Puget Sound Energy'!D4</f>
        <v>3053442</v>
      </c>
      <c r="D57" s="154">
        <f>'Puget Sound Energy'!D5</f>
        <v>7767912</v>
      </c>
      <c r="E57" s="154">
        <f>'Puget Sound Energy'!E3</f>
        <v>7943706.2119103186</v>
      </c>
      <c r="F57" s="154">
        <f>'Puget Sound Energy'!E4</f>
        <v>1334354.1540000001</v>
      </c>
      <c r="G57" s="154">
        <f>'Puget Sound Energy'!E6</f>
        <v>9278060.3659103177</v>
      </c>
      <c r="H57" s="164">
        <f>'Puget Sound Energy'!F6</f>
        <v>0.42768007682105308</v>
      </c>
    </row>
    <row r="58" spans="1:8" x14ac:dyDescent="0.3">
      <c r="A58" s="140" t="s">
        <v>95</v>
      </c>
      <c r="B58" s="154">
        <v>0</v>
      </c>
      <c r="C58" s="154">
        <v>37670.897299999953</v>
      </c>
      <c r="D58" s="154">
        <f>'BPA Load Following Customers'!C41+'BPA Load Following Customers'!D41</f>
        <v>820436.10270000005</v>
      </c>
      <c r="E58" s="154">
        <v>0</v>
      </c>
      <c r="F58" s="154">
        <v>16462.18212009998</v>
      </c>
      <c r="G58" s="154">
        <v>16462.18212009998</v>
      </c>
      <c r="H58" s="164">
        <v>1.9184299999999977E-2</v>
      </c>
    </row>
    <row r="59" spans="1:8" x14ac:dyDescent="0.3">
      <c r="A59" s="140" t="s">
        <v>96</v>
      </c>
      <c r="B59" s="154">
        <v>57</v>
      </c>
      <c r="C59" s="154">
        <v>0</v>
      </c>
      <c r="D59" s="154">
        <v>3432</v>
      </c>
      <c r="E59" s="154">
        <v>1.5405921298433883E-2</v>
      </c>
      <c r="F59" s="154">
        <v>0</v>
      </c>
      <c r="G59" s="154">
        <v>1.5405921298433883E-2</v>
      </c>
      <c r="H59" s="164">
        <v>0</v>
      </c>
    </row>
    <row r="60" spans="1:8" x14ac:dyDescent="0.3">
      <c r="A60" s="140" t="s">
        <v>16</v>
      </c>
      <c r="B60" s="154">
        <f>'Seattle City Light'!D3</f>
        <v>114168</v>
      </c>
      <c r="C60" s="154">
        <f>'Seattle City Light'!D4</f>
        <v>234663</v>
      </c>
      <c r="D60" s="154">
        <f>'Seattle City Light'!D5</f>
        <v>8839281</v>
      </c>
      <c r="E60" s="154">
        <f>'Seattle City Light'!E3</f>
        <v>67393.493860813687</v>
      </c>
      <c r="F60" s="154">
        <f>'Seattle City Light'!E4</f>
        <v>102547.731</v>
      </c>
      <c r="G60" s="154">
        <f>'Seattle City Light'!E6</f>
        <v>169941.2248608137</v>
      </c>
      <c r="H60" s="164">
        <f>'Seattle City Light'!F6</f>
        <v>1.8495772021587645E-2</v>
      </c>
    </row>
    <row r="61" spans="1:8" x14ac:dyDescent="0.3">
      <c r="A61" s="140" t="s">
        <v>97</v>
      </c>
      <c r="B61" s="154">
        <v>0</v>
      </c>
      <c r="C61" s="154">
        <v>6251.1844000000037</v>
      </c>
      <c r="D61" s="154">
        <f>'BPA Load Following Customers'!C33+'BPA Load Following Customers'!D33</f>
        <v>136144.8156</v>
      </c>
      <c r="E61" s="154">
        <v>0</v>
      </c>
      <c r="F61" s="154">
        <v>2731.7675828000015</v>
      </c>
      <c r="G61" s="154">
        <v>2731.7675828000015</v>
      </c>
      <c r="H61" s="164">
        <v>1.9184300000000012E-2</v>
      </c>
    </row>
    <row r="62" spans="1:8" x14ac:dyDescent="0.3">
      <c r="A62" s="140" t="s">
        <v>92</v>
      </c>
      <c r="B62" s="154">
        <f>'Snohomish County PUD 1'!D3</f>
        <v>0</v>
      </c>
      <c r="C62" s="154">
        <f>'Snohomish County PUD 1'!D4</f>
        <v>248448.10847191949</v>
      </c>
      <c r="D62" s="154">
        <f>'Snohomish County PUD 1'!D5</f>
        <v>6385558</v>
      </c>
      <c r="E62" s="161">
        <f>'Snohomish County PUD 1'!E3</f>
        <v>0</v>
      </c>
      <c r="F62" s="154">
        <f>'Snohomish County PUD 1'!E4</f>
        <v>108571.82340222882</v>
      </c>
      <c r="G62" s="154">
        <f>'Snohomish County PUD 1'!E6</f>
        <v>108571.82340222882</v>
      </c>
      <c r="H62" s="164">
        <f>'Snohomish County PUD 1'!F6</f>
        <v>1.6368744774388849E-2</v>
      </c>
    </row>
    <row r="63" spans="1:8" x14ac:dyDescent="0.3">
      <c r="A63" s="140" t="s">
        <v>98</v>
      </c>
      <c r="B63" s="154">
        <v>0</v>
      </c>
      <c r="C63" s="154">
        <v>1690.3256000000001</v>
      </c>
      <c r="D63" s="154">
        <f>'BPA Load Following Customers'!C34+'BPA Load Following Customers'!D34</f>
        <v>36813.674400000004</v>
      </c>
      <c r="E63" s="154">
        <v>0</v>
      </c>
      <c r="F63" s="154">
        <v>738.67228720000003</v>
      </c>
      <c r="G63" s="154">
        <v>738.67228720000003</v>
      </c>
      <c r="H63" s="164">
        <v>1.9184300000000001E-2</v>
      </c>
    </row>
    <row r="64" spans="1:8" x14ac:dyDescent="0.3">
      <c r="A64" s="140" t="s">
        <v>99</v>
      </c>
      <c r="B64" s="154">
        <v>0</v>
      </c>
      <c r="C64" s="154">
        <v>1332.3649999999989</v>
      </c>
      <c r="D64" s="154">
        <f>'BPA Load Following Customers'!C35+'BPA Load Following Customers'!D35</f>
        <v>29017.635000000002</v>
      </c>
      <c r="E64" s="154">
        <v>0</v>
      </c>
      <c r="F64" s="154">
        <v>582.24350499999946</v>
      </c>
      <c r="G64" s="154">
        <v>582.24350499999946</v>
      </c>
      <c r="H64" s="164">
        <v>1.9184299999999981E-2</v>
      </c>
    </row>
    <row r="65" spans="1:8" x14ac:dyDescent="0.3">
      <c r="A65" s="140" t="s">
        <v>51</v>
      </c>
      <c r="B65" s="154">
        <f>'Tacoma Power'!D3</f>
        <v>0</v>
      </c>
      <c r="C65" s="154">
        <f>'Tacoma Power'!D4</f>
        <v>108991</v>
      </c>
      <c r="D65" s="154">
        <f>'Tacoma Power'!D5</f>
        <v>4493712</v>
      </c>
      <c r="E65" s="154">
        <f>'Tacoma Power'!E3</f>
        <v>0</v>
      </c>
      <c r="F65" s="154">
        <f>'Tacoma Power'!E4</f>
        <v>47629.067000000003</v>
      </c>
      <c r="G65" s="154">
        <f>'Tacoma Power'!E6</f>
        <v>47629.067000000003</v>
      </c>
      <c r="H65" s="164">
        <f>'Tacoma Power'!F6</f>
        <v>1.0348064387382805E-2</v>
      </c>
    </row>
    <row r="66" spans="1:8" x14ac:dyDescent="0.3">
      <c r="A66" s="140" t="s">
        <v>100</v>
      </c>
      <c r="B66" s="154">
        <v>0</v>
      </c>
      <c r="C66" s="154">
        <v>4294.2102000000068</v>
      </c>
      <c r="D66" s="154">
        <f>'BPA Load Following Customers'!C36+'BPA Load Following Customers'!D36</f>
        <v>93523.789799999999</v>
      </c>
      <c r="E66" s="154">
        <v>0</v>
      </c>
      <c r="F66" s="154">
        <v>1876.569857400003</v>
      </c>
      <c r="G66" s="154">
        <v>1876.569857400003</v>
      </c>
      <c r="H66" s="164">
        <v>1.9184300000000029E-2</v>
      </c>
    </row>
    <row r="67" spans="1:8" x14ac:dyDescent="0.3">
      <c r="A67" s="140" t="s">
        <v>101</v>
      </c>
      <c r="B67" s="154">
        <v>0</v>
      </c>
      <c r="C67" s="154">
        <v>21240.966700000012</v>
      </c>
      <c r="D67" s="154">
        <f>'BPA Load Following Customers'!C37+'BPA Load Following Customers'!D37</f>
        <v>208098.03329999998</v>
      </c>
      <c r="E67" s="154">
        <v>0</v>
      </c>
      <c r="F67" s="154">
        <v>9282.3024479000051</v>
      </c>
      <c r="G67" s="154">
        <v>9282.3024479000051</v>
      </c>
      <c r="H67" s="164">
        <v>4.2647252497783193E-2</v>
      </c>
    </row>
    <row r="68" spans="1:8" x14ac:dyDescent="0.3">
      <c r="A68" s="140" t="s">
        <v>102</v>
      </c>
      <c r="B68" s="154">
        <v>0</v>
      </c>
      <c r="C68" s="154">
        <v>1959.432600000001</v>
      </c>
      <c r="D68" s="154">
        <f>'BPA Load Following Customers'!C38+'BPA Load Following Customers'!D38</f>
        <v>42674.5674</v>
      </c>
      <c r="E68" s="154">
        <v>0</v>
      </c>
      <c r="F68" s="154">
        <v>856.27204620000043</v>
      </c>
      <c r="G68" s="154">
        <v>856.27204620000043</v>
      </c>
      <c r="H68" s="164">
        <v>1.9184300000000008E-2</v>
      </c>
    </row>
    <row r="69" spans="1:8" x14ac:dyDescent="0.3">
      <c r="A69" s="140" t="s">
        <v>103</v>
      </c>
      <c r="B69" s="154">
        <v>0</v>
      </c>
      <c r="C69" s="154">
        <v>10252.318199999994</v>
      </c>
      <c r="D69" s="154">
        <f>'BPA Load Following Customers'!C39+'BPA Load Following Customers'!D39</f>
        <v>223285.68180000002</v>
      </c>
      <c r="E69" s="154">
        <v>0</v>
      </c>
      <c r="F69" s="154">
        <v>4480.2630533999973</v>
      </c>
      <c r="G69" s="154">
        <v>4480.2630533999973</v>
      </c>
      <c r="H69" s="164">
        <v>1.9184299999999987E-2</v>
      </c>
    </row>
    <row r="70" spans="1:8" x14ac:dyDescent="0.3">
      <c r="A70" s="140" t="s">
        <v>104</v>
      </c>
      <c r="B70" s="154">
        <v>0</v>
      </c>
      <c r="C70" s="154">
        <v>6474.7671000000009</v>
      </c>
      <c r="D70" s="154">
        <f>'BPA Load Following Customers'!C40+'BPA Load Following Customers'!D40</f>
        <v>141014.2329</v>
      </c>
      <c r="E70" s="154">
        <v>0</v>
      </c>
      <c r="F70" s="154">
        <v>2829.4732227000004</v>
      </c>
      <c r="G70" s="154">
        <v>2829.4732227000004</v>
      </c>
      <c r="H70" s="164">
        <v>1.9184300000000001E-2</v>
      </c>
    </row>
    <row r="71" spans="1:8" s="158" customFormat="1" ht="15" thickBot="1" x14ac:dyDescent="0.35">
      <c r="A71" s="158" t="s">
        <v>106</v>
      </c>
      <c r="B71" s="162">
        <f>SUM(B3:B70)</f>
        <v>18283873.401147541</v>
      </c>
      <c r="C71" s="162">
        <f t="shared" ref="C71:D71" si="0">SUM(C3:C70)</f>
        <v>11153685.098957878</v>
      </c>
      <c r="D71" s="162">
        <f t="shared" si="0"/>
        <v>55946015.951739952</v>
      </c>
      <c r="E71" s="162">
        <f>SUM(E3:E70)</f>
        <v>12422179.554418281</v>
      </c>
      <c r="F71" s="162">
        <f t="shared" ref="F71" si="1">SUM(F3:F70)</f>
        <v>6799395.1242824113</v>
      </c>
      <c r="G71" s="163">
        <f>SUM(G3:G70)</f>
        <v>17271835.657162875</v>
      </c>
      <c r="H71" s="159"/>
    </row>
    <row r="72" spans="1:8" ht="15" thickTop="1" x14ac:dyDescent="0.3"/>
    <row r="74" spans="1:8" x14ac:dyDescent="0.3">
      <c r="A74" s="175" t="s">
        <v>107</v>
      </c>
      <c r="B74" s="175"/>
      <c r="C74" s="175"/>
      <c r="D74" s="175"/>
      <c r="E74" s="175"/>
      <c r="F74" s="175"/>
      <c r="G74" s="175"/>
      <c r="H74" s="175"/>
    </row>
    <row r="75" spans="1:8" x14ac:dyDescent="0.3">
      <c r="A75" t="s">
        <v>108</v>
      </c>
    </row>
    <row r="76" spans="1:8" x14ac:dyDescent="0.3">
      <c r="A76" t="s">
        <v>109</v>
      </c>
    </row>
    <row r="77" spans="1:8" x14ac:dyDescent="0.3">
      <c r="A77" t="s">
        <v>110</v>
      </c>
    </row>
    <row r="78" spans="1:8" x14ac:dyDescent="0.3">
      <c r="A78" t="s">
        <v>111</v>
      </c>
    </row>
    <row r="80" spans="1:8" x14ac:dyDescent="0.3">
      <c r="A80" t="s">
        <v>119</v>
      </c>
    </row>
    <row r="81" spans="6:6" x14ac:dyDescent="0.3">
      <c r="F81" s="141"/>
    </row>
    <row r="83" spans="6:6" x14ac:dyDescent="0.3">
      <c r="F83" s="155"/>
    </row>
    <row r="84" spans="6:6" x14ac:dyDescent="0.3">
      <c r="F84" s="155"/>
    </row>
    <row r="85" spans="6:6" x14ac:dyDescent="0.3">
      <c r="F85" s="141"/>
    </row>
    <row r="86" spans="6:6" x14ac:dyDescent="0.3">
      <c r="F86" s="141"/>
    </row>
  </sheetData>
  <autoFilter ref="A2:H2">
    <sortState ref="A2:H71">
      <sortCondition ref="A1"/>
    </sortState>
  </autoFilter>
  <mergeCells count="2">
    <mergeCell ref="A1:H1"/>
    <mergeCell ref="A74:H7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42</v>
      </c>
    </row>
    <row r="2" spans="1:6" ht="66.599999999999994" x14ac:dyDescent="0.3">
      <c r="A2" s="109"/>
      <c r="B2" s="117"/>
      <c r="C2" s="110"/>
      <c r="D2" s="108" t="s">
        <v>8</v>
      </c>
      <c r="E2" s="107" t="s">
        <v>9</v>
      </c>
      <c r="F2" s="107" t="s">
        <v>10</v>
      </c>
    </row>
    <row r="3" spans="1:6" x14ac:dyDescent="0.3">
      <c r="A3" s="111" t="s">
        <v>11</v>
      </c>
      <c r="B3" s="111"/>
      <c r="C3" s="111"/>
      <c r="D3" s="112">
        <v>0</v>
      </c>
      <c r="E3" s="112">
        <v>0</v>
      </c>
      <c r="F3" s="114">
        <v>0</v>
      </c>
    </row>
    <row r="4" spans="1:6" x14ac:dyDescent="0.3">
      <c r="A4" s="111" t="s">
        <v>12</v>
      </c>
      <c r="B4" s="111"/>
      <c r="C4" s="111"/>
      <c r="D4" s="112">
        <v>9873.4159999999993</v>
      </c>
      <c r="E4" s="112">
        <v>4314.6827919999996</v>
      </c>
      <c r="F4" s="114">
        <v>0.437</v>
      </c>
    </row>
    <row r="5" spans="1:6" x14ac:dyDescent="0.3">
      <c r="A5" s="111" t="s">
        <v>13</v>
      </c>
      <c r="B5" s="111"/>
      <c r="C5" s="111"/>
      <c r="D5" s="113">
        <v>215033.55499999999</v>
      </c>
      <c r="E5" s="116">
        <v>0</v>
      </c>
      <c r="F5" s="115">
        <v>0</v>
      </c>
    </row>
    <row r="6" spans="1:6" x14ac:dyDescent="0.3">
      <c r="A6" s="111" t="s">
        <v>14</v>
      </c>
      <c r="B6" s="111"/>
      <c r="C6" s="111"/>
      <c r="D6" s="112">
        <v>224906.97099999999</v>
      </c>
      <c r="E6" s="112">
        <v>4314.6827919999996</v>
      </c>
      <c r="F6" s="114">
        <v>1.918429994773261E-2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cols>
    <col min="4" max="4" width="21.5546875" customWidth="1"/>
  </cols>
  <sheetData>
    <row r="1" spans="1:6" x14ac:dyDescent="0.3">
      <c r="A1" t="s">
        <v>43</v>
      </c>
    </row>
    <row r="2" spans="1:6" ht="66.599999999999994" x14ac:dyDescent="0.3">
      <c r="A2" s="120"/>
      <c r="B2" s="128"/>
      <c r="C2" s="121"/>
      <c r="D2" s="119" t="s">
        <v>8</v>
      </c>
      <c r="E2" s="118" t="s">
        <v>9</v>
      </c>
      <c r="F2" s="118" t="s">
        <v>10</v>
      </c>
    </row>
    <row r="3" spans="1:6" x14ac:dyDescent="0.3">
      <c r="A3" s="122" t="s">
        <v>11</v>
      </c>
      <c r="B3" s="122"/>
      <c r="C3" s="122"/>
      <c r="D3" s="123">
        <v>2415188.5121475402</v>
      </c>
      <c r="E3" s="123">
        <v>1949739.0215378206</v>
      </c>
      <c r="F3" s="125">
        <v>0.80728233499427726</v>
      </c>
    </row>
    <row r="4" spans="1:6" x14ac:dyDescent="0.3">
      <c r="A4" s="122" t="s">
        <v>12</v>
      </c>
      <c r="B4" s="122"/>
      <c r="C4" s="122"/>
      <c r="D4" s="123">
        <v>1121087.7908999999</v>
      </c>
      <c r="E4" s="123">
        <v>489915.36462330003</v>
      </c>
      <c r="F4" s="125">
        <v>0.43700000000000006</v>
      </c>
    </row>
    <row r="5" spans="1:6" x14ac:dyDescent="0.3">
      <c r="A5" s="122" t="s">
        <v>13</v>
      </c>
      <c r="B5" s="122"/>
      <c r="C5" s="122"/>
      <c r="D5" s="124">
        <v>921505.87160514505</v>
      </c>
      <c r="E5" s="127">
        <v>0</v>
      </c>
      <c r="F5" s="126">
        <v>0</v>
      </c>
    </row>
    <row r="6" spans="1:6" x14ac:dyDescent="0.3">
      <c r="A6" s="122" t="s">
        <v>14</v>
      </c>
      <c r="B6" s="122"/>
      <c r="C6" s="122"/>
      <c r="D6" s="123">
        <v>4457782.1746526854</v>
      </c>
      <c r="E6" s="123">
        <v>2439654.3861611206</v>
      </c>
      <c r="F6" s="125">
        <v>0.54727985589632333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47</v>
      </c>
    </row>
    <row r="2" spans="1:6" ht="66.599999999999994" x14ac:dyDescent="0.3">
      <c r="A2" s="131"/>
      <c r="B2" s="139"/>
      <c r="C2" s="132"/>
      <c r="D2" s="130" t="s">
        <v>8</v>
      </c>
      <c r="E2" s="129" t="s">
        <v>9</v>
      </c>
      <c r="F2" s="129" t="s">
        <v>10</v>
      </c>
    </row>
    <row r="3" spans="1:6" x14ac:dyDescent="0.3">
      <c r="A3" s="133" t="s">
        <v>11</v>
      </c>
      <c r="B3" s="133"/>
      <c r="C3" s="133"/>
      <c r="D3" s="134">
        <v>0</v>
      </c>
      <c r="E3" s="134">
        <v>0</v>
      </c>
      <c r="F3" s="136">
        <v>0</v>
      </c>
    </row>
    <row r="4" spans="1:6" x14ac:dyDescent="0.3">
      <c r="A4" s="133" t="s">
        <v>12</v>
      </c>
      <c r="B4" s="133"/>
      <c r="C4" s="133"/>
      <c r="D4" s="134">
        <v>74274</v>
      </c>
      <c r="E4" s="134">
        <f>D4*F4</f>
        <v>32457.738000000001</v>
      </c>
      <c r="F4" s="136">
        <v>0.437</v>
      </c>
    </row>
    <row r="5" spans="1:6" x14ac:dyDescent="0.3">
      <c r="A5" s="133" t="s">
        <v>13</v>
      </c>
      <c r="B5" s="133"/>
      <c r="C5" s="133"/>
      <c r="D5" s="135">
        <f>980559-D4</f>
        <v>906285</v>
      </c>
      <c r="E5" s="138">
        <v>0</v>
      </c>
      <c r="F5" s="137">
        <v>0</v>
      </c>
    </row>
    <row r="6" spans="1:6" x14ac:dyDescent="0.3">
      <c r="A6" s="133" t="s">
        <v>14</v>
      </c>
      <c r="B6" s="133"/>
      <c r="C6" s="133"/>
      <c r="D6" s="134">
        <f>SUM(D3:D5)</f>
        <v>980559</v>
      </c>
      <c r="E6" s="147">
        <f>SUM(E3:E5)</f>
        <v>32457.738000000001</v>
      </c>
      <c r="F6" s="136">
        <f>E6/D6</f>
        <v>3.3101259587643379E-2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45</v>
      </c>
    </row>
    <row r="2" spans="1:6" x14ac:dyDescent="0.3">
      <c r="D2" t="s">
        <v>8</v>
      </c>
      <c r="E2" t="s">
        <v>9</v>
      </c>
      <c r="F2" t="s">
        <v>10</v>
      </c>
    </row>
    <row r="3" spans="1:6" x14ac:dyDescent="0.3">
      <c r="A3" t="s">
        <v>11</v>
      </c>
    </row>
    <row r="4" spans="1:6" x14ac:dyDescent="0.3">
      <c r="A4" t="s">
        <v>12</v>
      </c>
      <c r="D4">
        <v>26912.459029100002</v>
      </c>
      <c r="E4">
        <v>11760.7445957167</v>
      </c>
      <c r="F4">
        <v>0.43699999999999994</v>
      </c>
    </row>
    <row r="5" spans="1:6" x14ac:dyDescent="0.3">
      <c r="A5" t="s">
        <v>13</v>
      </c>
      <c r="D5">
        <v>586127.6099709</v>
      </c>
      <c r="E5">
        <v>0</v>
      </c>
      <c r="F5">
        <v>0</v>
      </c>
    </row>
    <row r="6" spans="1:6" x14ac:dyDescent="0.3">
      <c r="A6" t="s">
        <v>14</v>
      </c>
      <c r="D6">
        <v>613040.06900000002</v>
      </c>
      <c r="E6">
        <v>11760.7445957167</v>
      </c>
      <c r="F6">
        <v>1.9184300000000001E-2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cols>
    <col min="4" max="4" width="13.5546875" customWidth="1"/>
    <col min="5" max="5" width="13.21875" customWidth="1"/>
  </cols>
  <sheetData>
    <row r="1" spans="1:6" x14ac:dyDescent="0.3">
      <c r="A1" t="s">
        <v>49</v>
      </c>
    </row>
    <row r="2" spans="1:6" ht="66.599999999999994" x14ac:dyDescent="0.3">
      <c r="A2" s="144"/>
      <c r="B2" s="152"/>
      <c r="C2" s="145"/>
      <c r="D2" s="143" t="s">
        <v>8</v>
      </c>
      <c r="E2" s="142" t="s">
        <v>9</v>
      </c>
      <c r="F2" s="142" t="s">
        <v>10</v>
      </c>
    </row>
    <row r="3" spans="1:6" x14ac:dyDescent="0.3">
      <c r="A3" s="146" t="s">
        <v>11</v>
      </c>
      <c r="B3" s="146"/>
      <c r="C3" s="146"/>
      <c r="D3" s="147">
        <v>10872573</v>
      </c>
      <c r="E3" s="147">
        <v>7943706.2119103186</v>
      </c>
      <c r="F3" s="149">
        <v>0.73061879758455694</v>
      </c>
    </row>
    <row r="4" spans="1:6" x14ac:dyDescent="0.3">
      <c r="A4" s="146" t="s">
        <v>12</v>
      </c>
      <c r="B4" s="146"/>
      <c r="C4" s="146"/>
      <c r="D4" s="147">
        <v>3053442</v>
      </c>
      <c r="E4" s="147">
        <f>D4*F4</f>
        <v>1334354.1540000001</v>
      </c>
      <c r="F4" s="149">
        <v>0.437</v>
      </c>
    </row>
    <row r="5" spans="1:6" x14ac:dyDescent="0.3">
      <c r="A5" s="146" t="s">
        <v>13</v>
      </c>
      <c r="B5" s="146"/>
      <c r="C5" s="146"/>
      <c r="D5" s="148">
        <f>3500+5234658+40693+206950+2282111</f>
        <v>7767912</v>
      </c>
      <c r="E5" s="151">
        <v>0</v>
      </c>
      <c r="F5" s="150">
        <v>0</v>
      </c>
    </row>
    <row r="6" spans="1:6" x14ac:dyDescent="0.3">
      <c r="A6" s="146" t="s">
        <v>14</v>
      </c>
      <c r="B6" s="146"/>
      <c r="C6" s="146"/>
      <c r="D6" s="147">
        <f>SUM(D3:D5)</f>
        <v>21693927</v>
      </c>
      <c r="E6" s="147">
        <f>SUM(E3:E5)</f>
        <v>9278060.3659103177</v>
      </c>
      <c r="F6" s="149">
        <f>E6/D6</f>
        <v>0.42768007682105308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C8" sqref="C8"/>
    </sheetView>
  </sheetViews>
  <sheetFormatPr defaultRowHeight="14.4" x14ac:dyDescent="0.3"/>
  <cols>
    <col min="4" max="4" width="20.5546875" customWidth="1"/>
    <col min="5" max="5" width="15.21875" customWidth="1"/>
    <col min="6" max="6" width="19.21875" customWidth="1"/>
  </cols>
  <sheetData>
    <row r="1" spans="1:6" ht="14.55" customHeight="1" x14ac:dyDescent="0.3">
      <c r="A1" s="176" t="s">
        <v>15</v>
      </c>
      <c r="B1" s="177"/>
      <c r="C1" s="177"/>
      <c r="D1" s="177"/>
      <c r="E1" s="177"/>
      <c r="F1" s="178"/>
    </row>
    <row r="2" spans="1:6" ht="65.55" customHeight="1" x14ac:dyDescent="0.3">
      <c r="A2" s="7"/>
      <c r="B2" s="15"/>
      <c r="C2" s="8"/>
      <c r="D2" s="6" t="s">
        <v>8</v>
      </c>
      <c r="E2" s="5" t="s">
        <v>9</v>
      </c>
      <c r="F2" s="5" t="s">
        <v>10</v>
      </c>
    </row>
    <row r="3" spans="1:6" x14ac:dyDescent="0.3">
      <c r="A3" s="9" t="s">
        <v>11</v>
      </c>
      <c r="B3" s="9"/>
      <c r="C3" s="9"/>
      <c r="D3" s="10">
        <v>114168</v>
      </c>
      <c r="E3" s="10">
        <v>67393.493860813687</v>
      </c>
      <c r="F3" s="12">
        <v>0.59030108139595761</v>
      </c>
    </row>
    <row r="4" spans="1:6" x14ac:dyDescent="0.3">
      <c r="A4" s="9" t="s">
        <v>12</v>
      </c>
      <c r="B4" s="9"/>
      <c r="C4" s="9"/>
      <c r="D4" s="10">
        <v>234663</v>
      </c>
      <c r="E4" s="10">
        <v>102547.731</v>
      </c>
      <c r="F4" s="12">
        <v>0.437</v>
      </c>
    </row>
    <row r="5" spans="1:6" x14ac:dyDescent="0.3">
      <c r="A5" s="9" t="s">
        <v>13</v>
      </c>
      <c r="B5" s="9"/>
      <c r="C5" s="9"/>
      <c r="D5" s="11">
        <v>8839281</v>
      </c>
      <c r="E5" s="14">
        <v>0</v>
      </c>
      <c r="F5" s="13">
        <v>0</v>
      </c>
    </row>
    <row r="6" spans="1:6" x14ac:dyDescent="0.3">
      <c r="A6" s="9" t="s">
        <v>14</v>
      </c>
      <c r="B6" s="9"/>
      <c r="C6" s="9"/>
      <c r="D6" s="10">
        <v>9188112</v>
      </c>
      <c r="E6" s="10">
        <v>169941.2248608137</v>
      </c>
      <c r="F6" s="12">
        <v>1.8495772021587645E-2</v>
      </c>
    </row>
  </sheetData>
  <mergeCells count="1">
    <mergeCell ref="A1:F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F6" sqref="F6"/>
    </sheetView>
  </sheetViews>
  <sheetFormatPr defaultRowHeight="14.4" x14ac:dyDescent="0.3"/>
  <cols>
    <col min="4" max="4" width="17.44140625" customWidth="1"/>
    <col min="5" max="5" width="29.5546875" customWidth="1"/>
    <col min="6" max="6" width="18.21875" customWidth="1"/>
  </cols>
  <sheetData>
    <row r="1" spans="1:6" x14ac:dyDescent="0.3">
      <c r="A1" t="s">
        <v>50</v>
      </c>
    </row>
    <row r="2" spans="1:6" x14ac:dyDescent="0.3">
      <c r="D2" t="s">
        <v>8</v>
      </c>
      <c r="E2" t="s">
        <v>9</v>
      </c>
      <c r="F2" t="s">
        <v>10</v>
      </c>
    </row>
    <row r="3" spans="1:6" x14ac:dyDescent="0.3">
      <c r="A3" t="s">
        <v>11</v>
      </c>
      <c r="D3">
        <v>0</v>
      </c>
      <c r="E3">
        <v>0</v>
      </c>
      <c r="F3">
        <v>0</v>
      </c>
    </row>
    <row r="4" spans="1:6" x14ac:dyDescent="0.3">
      <c r="A4" t="s">
        <v>12</v>
      </c>
      <c r="D4">
        <v>248448.10847191949</v>
      </c>
      <c r="E4">
        <v>108571.82340222882</v>
      </c>
      <c r="F4">
        <v>0.437</v>
      </c>
    </row>
    <row r="5" spans="1:6" x14ac:dyDescent="0.3">
      <c r="A5" t="s">
        <v>13</v>
      </c>
      <c r="D5">
        <f>65472+6318954+1132</f>
        <v>6385558</v>
      </c>
      <c r="E5">
        <v>0</v>
      </c>
      <c r="F5">
        <v>0</v>
      </c>
    </row>
    <row r="6" spans="1:6" x14ac:dyDescent="0.3">
      <c r="A6" t="s">
        <v>14</v>
      </c>
      <c r="D6">
        <v>6632874.1084719198</v>
      </c>
      <c r="E6">
        <v>108571.82340222882</v>
      </c>
      <c r="F6">
        <v>1.6368744774388849E-2</v>
      </c>
    </row>
    <row r="10" spans="1:6" x14ac:dyDescent="0.3">
      <c r="E10" s="153"/>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52</v>
      </c>
    </row>
    <row r="2" spans="1:6" x14ac:dyDescent="0.3">
      <c r="D2" t="s">
        <v>8</v>
      </c>
      <c r="E2" t="s">
        <v>9</v>
      </c>
      <c r="F2" t="s">
        <v>10</v>
      </c>
    </row>
    <row r="3" spans="1:6" x14ac:dyDescent="0.3">
      <c r="A3" t="s">
        <v>11</v>
      </c>
      <c r="D3">
        <v>0</v>
      </c>
      <c r="E3">
        <v>0</v>
      </c>
      <c r="F3">
        <v>0</v>
      </c>
    </row>
    <row r="4" spans="1:6" x14ac:dyDescent="0.3">
      <c r="A4" t="s">
        <v>12</v>
      </c>
      <c r="D4">
        <v>108991</v>
      </c>
      <c r="E4">
        <v>47629.067000000003</v>
      </c>
      <c r="F4">
        <v>0.437</v>
      </c>
    </row>
    <row r="5" spans="1:6" x14ac:dyDescent="0.3">
      <c r="A5" t="s">
        <v>13</v>
      </c>
      <c r="D5">
        <v>4493712</v>
      </c>
      <c r="E5">
        <v>0</v>
      </c>
      <c r="F5">
        <v>0</v>
      </c>
    </row>
    <row r="6" spans="1:6" x14ac:dyDescent="0.3">
      <c r="A6" t="s">
        <v>14</v>
      </c>
      <c r="D6">
        <v>4602703</v>
      </c>
      <c r="E6">
        <v>47629.067000000003</v>
      </c>
      <c r="F6">
        <v>1.0348064387382805E-2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A12" sqref="A12"/>
    </sheetView>
  </sheetViews>
  <sheetFormatPr defaultRowHeight="14.4" x14ac:dyDescent="0.3"/>
  <cols>
    <col min="1" max="1" width="39.6640625" customWidth="1"/>
    <col min="2" max="2" width="25.21875" customWidth="1"/>
    <col min="3" max="3" width="12.44140625" customWidth="1"/>
    <col min="4" max="4" width="15.109375" customWidth="1"/>
    <col min="5" max="5" width="17.77734375" customWidth="1"/>
    <col min="6" max="6" width="19.109375" customWidth="1"/>
    <col min="7" max="7" width="22.109375" customWidth="1"/>
  </cols>
  <sheetData>
    <row r="1" spans="1:7" s="95" customFormat="1" ht="28.8" x14ac:dyDescent="0.3">
      <c r="A1" s="95" t="s">
        <v>53</v>
      </c>
      <c r="B1" s="165" t="s">
        <v>58</v>
      </c>
      <c r="C1" s="95" t="s">
        <v>56</v>
      </c>
      <c r="D1" s="165" t="s">
        <v>57</v>
      </c>
      <c r="E1" s="95" t="s">
        <v>59</v>
      </c>
      <c r="F1" s="165" t="s">
        <v>55</v>
      </c>
      <c r="G1" s="165" t="s">
        <v>61</v>
      </c>
    </row>
    <row r="2" spans="1:7" x14ac:dyDescent="0.3">
      <c r="A2" t="s">
        <v>54</v>
      </c>
      <c r="B2" s="166">
        <v>5451</v>
      </c>
      <c r="C2" s="166">
        <f>B2*0.8469</f>
        <v>4616.4519</v>
      </c>
      <c r="D2" s="166">
        <f>B2*0.1092</f>
        <v>595.24919999999997</v>
      </c>
      <c r="E2" s="166">
        <f>B2-C2-D2</f>
        <v>239.2989</v>
      </c>
      <c r="F2" s="166">
        <f>E2*0.437</f>
        <v>104.5736193</v>
      </c>
      <c r="G2" s="4">
        <f>F2/B2</f>
        <v>1.9184300000000001E-2</v>
      </c>
    </row>
    <row r="3" spans="1:7" x14ac:dyDescent="0.3">
      <c r="A3" t="s">
        <v>60</v>
      </c>
      <c r="B3" s="166">
        <v>4513</v>
      </c>
      <c r="C3" s="166">
        <f t="shared" ref="C3:C41" si="0">B3*0.8469</f>
        <v>3822.0596999999998</v>
      </c>
      <c r="D3" s="166">
        <f t="shared" ref="D3:D41" si="1">B3*0.1092</f>
        <v>492.81960000000004</v>
      </c>
      <c r="E3" s="166">
        <f t="shared" ref="E3:E40" si="2">B3-C3-D3</f>
        <v>198.12070000000017</v>
      </c>
      <c r="F3" s="166">
        <f t="shared" ref="F3:F41" si="3">E3*0.437</f>
        <v>86.578745900000072</v>
      </c>
      <c r="G3" s="4">
        <f t="shared" ref="G3:G41" si="4">F3/B3</f>
        <v>1.9184300000000015E-2</v>
      </c>
    </row>
    <row r="4" spans="1:7" x14ac:dyDescent="0.3">
      <c r="A4" t="s">
        <v>63</v>
      </c>
      <c r="B4" s="166">
        <v>534913</v>
      </c>
      <c r="C4" s="166">
        <f t="shared" si="0"/>
        <v>453017.81969999999</v>
      </c>
      <c r="D4" s="166">
        <f t="shared" si="1"/>
        <v>58412.499600000003</v>
      </c>
      <c r="E4" s="166">
        <f t="shared" si="2"/>
        <v>23482.680700000004</v>
      </c>
      <c r="F4" s="166">
        <f t="shared" si="3"/>
        <v>10261.931465900001</v>
      </c>
      <c r="G4" s="4">
        <f t="shared" si="4"/>
        <v>1.9184300000000001E-2</v>
      </c>
    </row>
    <row r="5" spans="1:7" x14ac:dyDescent="0.3">
      <c r="A5" t="s">
        <v>64</v>
      </c>
      <c r="B5" s="166">
        <v>132430</v>
      </c>
      <c r="C5" s="166">
        <f t="shared" si="0"/>
        <v>112154.967</v>
      </c>
      <c r="D5" s="166">
        <f t="shared" si="1"/>
        <v>14461.356000000002</v>
      </c>
      <c r="E5" s="166">
        <f>B5-C5-D5+8760</f>
        <v>14573.676999999994</v>
      </c>
      <c r="F5" s="166">
        <f t="shared" si="3"/>
        <v>6368.6968489999972</v>
      </c>
      <c r="G5" s="4">
        <f t="shared" si="4"/>
        <v>4.809104318507889E-2</v>
      </c>
    </row>
    <row r="6" spans="1:7" x14ac:dyDescent="0.3">
      <c r="A6" t="s">
        <v>65</v>
      </c>
      <c r="B6" s="166">
        <v>20829</v>
      </c>
      <c r="C6" s="166">
        <f t="shared" si="0"/>
        <v>17640.080099999999</v>
      </c>
      <c r="D6" s="166">
        <f t="shared" si="1"/>
        <v>2274.5268000000001</v>
      </c>
      <c r="E6" s="166">
        <f t="shared" si="2"/>
        <v>914.39310000000069</v>
      </c>
      <c r="F6" s="166">
        <f t="shared" si="3"/>
        <v>399.58978470000028</v>
      </c>
      <c r="G6" s="4">
        <f t="shared" si="4"/>
        <v>1.9184300000000012E-2</v>
      </c>
    </row>
    <row r="7" spans="1:7" x14ac:dyDescent="0.3">
      <c r="A7" t="s">
        <v>66</v>
      </c>
      <c r="B7" s="166">
        <v>80474</v>
      </c>
      <c r="C7" s="166">
        <f t="shared" si="0"/>
        <v>68153.430599999992</v>
      </c>
      <c r="D7" s="166">
        <f t="shared" si="1"/>
        <v>8787.7608</v>
      </c>
      <c r="E7" s="166">
        <f t="shared" si="2"/>
        <v>3532.8086000000076</v>
      </c>
      <c r="F7" s="166">
        <f t="shared" si="3"/>
        <v>1543.8373582000033</v>
      </c>
      <c r="G7" s="4">
        <f t="shared" si="4"/>
        <v>1.9184300000000043E-2</v>
      </c>
    </row>
    <row r="8" spans="1:7" x14ac:dyDescent="0.3">
      <c r="A8" t="s">
        <v>67</v>
      </c>
      <c r="B8" s="166">
        <v>343305</v>
      </c>
      <c r="C8" s="166">
        <f t="shared" si="0"/>
        <v>290745.00449999998</v>
      </c>
      <c r="D8" s="166">
        <f t="shared" si="1"/>
        <v>37488.906000000003</v>
      </c>
      <c r="E8" s="166">
        <f>B8-C8-D8+33061</f>
        <v>48132.089500000016</v>
      </c>
      <c r="F8" s="166">
        <f t="shared" si="3"/>
        <v>21033.723111500007</v>
      </c>
      <c r="G8" s="4">
        <f t="shared" si="4"/>
        <v>6.1268327322643153E-2</v>
      </c>
    </row>
    <row r="9" spans="1:7" x14ac:dyDescent="0.3">
      <c r="A9" t="s">
        <v>68</v>
      </c>
      <c r="B9" s="166">
        <v>2464</v>
      </c>
      <c r="C9" s="166">
        <f t="shared" si="0"/>
        <v>2086.7615999999998</v>
      </c>
      <c r="D9" s="166">
        <f t="shared" si="1"/>
        <v>269.06880000000001</v>
      </c>
      <c r="E9" s="166">
        <f t="shared" si="2"/>
        <v>108.16960000000017</v>
      </c>
      <c r="F9" s="166">
        <f t="shared" si="3"/>
        <v>47.270115200000077</v>
      </c>
      <c r="G9" s="4">
        <f t="shared" si="4"/>
        <v>1.9184300000000033E-2</v>
      </c>
    </row>
    <row r="10" spans="1:7" x14ac:dyDescent="0.3">
      <c r="A10" t="s">
        <v>69</v>
      </c>
      <c r="B10" s="166">
        <v>16994</v>
      </c>
      <c r="C10" s="166">
        <f t="shared" si="0"/>
        <v>14392.2186</v>
      </c>
      <c r="D10" s="166">
        <f t="shared" si="1"/>
        <v>1855.7448000000002</v>
      </c>
      <c r="E10" s="166">
        <f t="shared" si="2"/>
        <v>746.03659999999968</v>
      </c>
      <c r="F10" s="166">
        <f t="shared" si="3"/>
        <v>326.01799419999986</v>
      </c>
      <c r="G10" s="4">
        <f t="shared" si="4"/>
        <v>1.9184299999999991E-2</v>
      </c>
    </row>
    <row r="11" spans="1:7" x14ac:dyDescent="0.3">
      <c r="A11" t="s">
        <v>70</v>
      </c>
      <c r="B11" s="166">
        <v>27742</v>
      </c>
      <c r="C11" s="166">
        <f t="shared" si="0"/>
        <v>23494.699799999999</v>
      </c>
      <c r="D11" s="166">
        <f t="shared" si="1"/>
        <v>3029.4264000000003</v>
      </c>
      <c r="E11" s="166">
        <f t="shared" si="2"/>
        <v>1217.8738000000012</v>
      </c>
      <c r="F11" s="166">
        <f t="shared" si="3"/>
        <v>532.21085060000053</v>
      </c>
      <c r="G11" s="4">
        <f t="shared" si="4"/>
        <v>1.9184300000000019E-2</v>
      </c>
    </row>
    <row r="12" spans="1:7" x14ac:dyDescent="0.3">
      <c r="A12" t="s">
        <v>71</v>
      </c>
      <c r="B12" s="166">
        <v>201681</v>
      </c>
      <c r="C12" s="166">
        <f t="shared" si="0"/>
        <v>170803.63889999999</v>
      </c>
      <c r="D12" s="166">
        <f t="shared" si="1"/>
        <v>22023.565200000001</v>
      </c>
      <c r="E12" s="166">
        <f t="shared" si="2"/>
        <v>8853.7959000000083</v>
      </c>
      <c r="F12" s="166">
        <f t="shared" si="3"/>
        <v>3869.1088083000036</v>
      </c>
      <c r="G12" s="4">
        <f t="shared" si="4"/>
        <v>1.9184300000000019E-2</v>
      </c>
    </row>
    <row r="13" spans="1:7" x14ac:dyDescent="0.3">
      <c r="A13" t="s">
        <v>72</v>
      </c>
      <c r="B13" s="166">
        <v>281275</v>
      </c>
      <c r="C13" s="166">
        <f t="shared" si="0"/>
        <v>238211.79749999999</v>
      </c>
      <c r="D13" s="166">
        <f t="shared" si="1"/>
        <v>30715.230000000003</v>
      </c>
      <c r="E13" s="166">
        <f t="shared" si="2"/>
        <v>12347.972500000011</v>
      </c>
      <c r="F13" s="166">
        <f t="shared" si="3"/>
        <v>5396.0639825000044</v>
      </c>
      <c r="G13" s="4">
        <f t="shared" si="4"/>
        <v>1.9184300000000015E-2</v>
      </c>
    </row>
    <row r="14" spans="1:7" x14ac:dyDescent="0.3">
      <c r="A14" t="s">
        <v>73</v>
      </c>
      <c r="B14" s="166">
        <v>23943</v>
      </c>
      <c r="C14" s="166">
        <f t="shared" si="0"/>
        <v>20277.326700000001</v>
      </c>
      <c r="D14" s="166">
        <f t="shared" si="1"/>
        <v>2614.5756000000001</v>
      </c>
      <c r="E14" s="166">
        <f t="shared" si="2"/>
        <v>1051.0976999999984</v>
      </c>
      <c r="F14" s="166">
        <f t="shared" si="3"/>
        <v>459.32969489999931</v>
      </c>
      <c r="G14" s="4">
        <f t="shared" si="4"/>
        <v>1.918429999999997E-2</v>
      </c>
    </row>
    <row r="15" spans="1:7" x14ac:dyDescent="0.3">
      <c r="A15" t="s">
        <v>74</v>
      </c>
      <c r="B15" s="166">
        <v>44002</v>
      </c>
      <c r="C15" s="166">
        <f t="shared" si="0"/>
        <v>37265.293799999999</v>
      </c>
      <c r="D15" s="166">
        <f t="shared" si="1"/>
        <v>4805.0183999999999</v>
      </c>
      <c r="E15" s="166">
        <f t="shared" si="2"/>
        <v>1931.6878000000006</v>
      </c>
      <c r="F15" s="166">
        <f t="shared" si="3"/>
        <v>844.14756860000023</v>
      </c>
      <c r="G15" s="4">
        <f t="shared" si="4"/>
        <v>1.9184300000000005E-2</v>
      </c>
    </row>
    <row r="16" spans="1:7" x14ac:dyDescent="0.3">
      <c r="A16" t="s">
        <v>114</v>
      </c>
      <c r="B16" s="166">
        <v>70717</v>
      </c>
      <c r="C16" s="166">
        <f t="shared" si="0"/>
        <v>59890.227299999999</v>
      </c>
      <c r="D16" s="166">
        <f t="shared" si="1"/>
        <v>7722.2964000000002</v>
      </c>
      <c r="E16" s="166">
        <f t="shared" si="2"/>
        <v>3104.4763000000012</v>
      </c>
      <c r="F16" s="166">
        <f t="shared" si="3"/>
        <v>1356.6561431000005</v>
      </c>
      <c r="G16" s="4">
        <f t="shared" si="4"/>
        <v>1.9184300000000005E-2</v>
      </c>
    </row>
    <row r="17" spans="1:7" x14ac:dyDescent="0.3">
      <c r="A17" t="s">
        <v>76</v>
      </c>
      <c r="B17" s="166">
        <v>995527</v>
      </c>
      <c r="C17" s="166">
        <f t="shared" si="0"/>
        <v>843111.81629999995</v>
      </c>
      <c r="D17" s="166">
        <f t="shared" si="1"/>
        <v>108711.5484</v>
      </c>
      <c r="E17" s="166">
        <f>B17-C17-D17+50547</f>
        <v>94250.635300000053</v>
      </c>
      <c r="F17" s="166">
        <f t="shared" si="3"/>
        <v>41187.527626100025</v>
      </c>
      <c r="G17" s="4">
        <f t="shared" si="4"/>
        <v>4.1372587208684468E-2</v>
      </c>
    </row>
    <row r="18" spans="1:7" x14ac:dyDescent="0.3">
      <c r="A18" t="s">
        <v>115</v>
      </c>
      <c r="B18" s="166">
        <v>395017</v>
      </c>
      <c r="C18" s="166">
        <f t="shared" si="0"/>
        <v>334539.89730000001</v>
      </c>
      <c r="D18" s="166">
        <f t="shared" si="1"/>
        <v>43135.856400000004</v>
      </c>
      <c r="E18" s="166">
        <f t="shared" si="2"/>
        <v>17341.246299999984</v>
      </c>
      <c r="F18" s="166">
        <f t="shared" si="3"/>
        <v>7578.1246330999929</v>
      </c>
      <c r="G18" s="4">
        <f t="shared" si="4"/>
        <v>1.9184299999999981E-2</v>
      </c>
    </row>
    <row r="19" spans="1:7" x14ac:dyDescent="0.3">
      <c r="A19" t="s">
        <v>77</v>
      </c>
      <c r="B19" s="166">
        <v>27745</v>
      </c>
      <c r="C19" s="166">
        <f t="shared" si="0"/>
        <v>23497.2405</v>
      </c>
      <c r="D19" s="166">
        <f t="shared" si="1"/>
        <v>3029.7540000000004</v>
      </c>
      <c r="E19" s="166">
        <f t="shared" si="2"/>
        <v>1218.0054999999998</v>
      </c>
      <c r="F19" s="166">
        <f t="shared" si="3"/>
        <v>532.26840349999986</v>
      </c>
      <c r="G19" s="4">
        <f t="shared" si="4"/>
        <v>1.9184299999999994E-2</v>
      </c>
    </row>
    <row r="20" spans="1:7" x14ac:dyDescent="0.3">
      <c r="A20" t="s">
        <v>116</v>
      </c>
      <c r="B20" s="166">
        <v>112008</v>
      </c>
      <c r="C20" s="166">
        <f t="shared" si="0"/>
        <v>94859.575199999992</v>
      </c>
      <c r="D20" s="166">
        <f t="shared" si="1"/>
        <v>12231.2736</v>
      </c>
      <c r="E20" s="166">
        <f>B20-C20-D20+186</f>
        <v>5103.1512000000075</v>
      </c>
      <c r="F20" s="166">
        <f t="shared" si="3"/>
        <v>2230.0770744000033</v>
      </c>
      <c r="G20" s="4">
        <f t="shared" si="4"/>
        <v>1.9909980308549419E-2</v>
      </c>
    </row>
    <row r="21" spans="1:7" x14ac:dyDescent="0.3">
      <c r="A21" t="s">
        <v>78</v>
      </c>
      <c r="B21" s="166">
        <v>257711</v>
      </c>
      <c r="C21" s="166">
        <f t="shared" si="0"/>
        <v>218255.44589999999</v>
      </c>
      <c r="D21" s="166">
        <f t="shared" si="1"/>
        <v>28142.0412</v>
      </c>
      <c r="E21" s="166">
        <f t="shared" si="2"/>
        <v>11313.512900000009</v>
      </c>
      <c r="F21" s="166">
        <f t="shared" si="3"/>
        <v>4944.0051373000042</v>
      </c>
      <c r="G21" s="4">
        <f t="shared" si="4"/>
        <v>1.9184300000000015E-2</v>
      </c>
    </row>
    <row r="22" spans="1:7" s="167" customFormat="1" x14ac:dyDescent="0.3">
      <c r="A22" s="167" t="s">
        <v>37</v>
      </c>
      <c r="B22" s="166">
        <v>666220</v>
      </c>
      <c r="C22" s="166">
        <f t="shared" si="0"/>
        <v>564221.71799999999</v>
      </c>
      <c r="D22" s="166">
        <f t="shared" si="1"/>
        <v>72751.224000000002</v>
      </c>
      <c r="E22" s="166">
        <f t="shared" si="2"/>
        <v>29247.058000000005</v>
      </c>
      <c r="F22" s="166">
        <f>E22*0.437</f>
        <v>12780.964346000002</v>
      </c>
      <c r="G22" s="4">
        <f>0.0183995828006772</f>
        <v>1.8399582800677199E-2</v>
      </c>
    </row>
    <row r="23" spans="1:7" x14ac:dyDescent="0.3">
      <c r="A23" t="s">
        <v>82</v>
      </c>
      <c r="B23" s="166">
        <v>30776</v>
      </c>
      <c r="C23" s="166">
        <f t="shared" si="0"/>
        <v>26064.1944</v>
      </c>
      <c r="D23" s="166">
        <f t="shared" si="1"/>
        <v>3360.7392</v>
      </c>
      <c r="E23" s="166">
        <f t="shared" si="2"/>
        <v>1351.0663999999997</v>
      </c>
      <c r="F23" s="166">
        <f t="shared" si="3"/>
        <v>590.41601679999985</v>
      </c>
      <c r="G23" s="4">
        <f t="shared" si="4"/>
        <v>1.9184299999999994E-2</v>
      </c>
    </row>
    <row r="24" spans="1:7" x14ac:dyDescent="0.3">
      <c r="A24" t="s">
        <v>83</v>
      </c>
      <c r="B24" s="166">
        <v>56747</v>
      </c>
      <c r="C24" s="166">
        <f t="shared" si="0"/>
        <v>48059.034299999999</v>
      </c>
      <c r="D24" s="166">
        <f t="shared" si="1"/>
        <v>6196.7724000000007</v>
      </c>
      <c r="E24" s="166">
        <f t="shared" si="2"/>
        <v>2491.1932999999999</v>
      </c>
      <c r="F24" s="166">
        <f t="shared" si="3"/>
        <v>1088.6514720999999</v>
      </c>
      <c r="G24" s="4">
        <f t="shared" si="4"/>
        <v>1.9184299999999998E-2</v>
      </c>
    </row>
    <row r="25" spans="1:7" x14ac:dyDescent="0.3">
      <c r="A25" t="s">
        <v>84</v>
      </c>
      <c r="B25" s="166">
        <v>232680</v>
      </c>
      <c r="C25" s="166">
        <f t="shared" si="0"/>
        <v>197056.69200000001</v>
      </c>
      <c r="D25" s="166">
        <f t="shared" si="1"/>
        <v>25408.656000000003</v>
      </c>
      <c r="E25" s="166">
        <f t="shared" si="2"/>
        <v>10214.651999999987</v>
      </c>
      <c r="F25" s="166">
        <f t="shared" si="3"/>
        <v>4463.8029239999942</v>
      </c>
      <c r="G25" s="4">
        <f t="shared" si="4"/>
        <v>1.9184299999999974E-2</v>
      </c>
    </row>
    <row r="26" spans="1:7" x14ac:dyDescent="0.3">
      <c r="A26" t="s">
        <v>85</v>
      </c>
      <c r="B26" s="166">
        <v>65666</v>
      </c>
      <c r="C26" s="166">
        <f t="shared" si="0"/>
        <v>55612.535400000001</v>
      </c>
      <c r="D26" s="166">
        <f t="shared" si="1"/>
        <v>7170.7272000000003</v>
      </c>
      <c r="E26" s="166">
        <f t="shared" si="2"/>
        <v>2882.7373999999991</v>
      </c>
      <c r="F26" s="166">
        <f t="shared" si="3"/>
        <v>1259.7562437999995</v>
      </c>
      <c r="G26" s="4">
        <f t="shared" si="4"/>
        <v>1.9184299999999994E-2</v>
      </c>
    </row>
    <row r="27" spans="1:7" x14ac:dyDescent="0.3">
      <c r="A27" t="s">
        <v>87</v>
      </c>
      <c r="B27" s="166">
        <v>90802</v>
      </c>
      <c r="C27" s="166">
        <f t="shared" si="0"/>
        <v>76900.213799999998</v>
      </c>
      <c r="D27" s="166">
        <f t="shared" si="1"/>
        <v>9915.5784000000003</v>
      </c>
      <c r="E27" s="166">
        <f t="shared" si="2"/>
        <v>3986.207800000002</v>
      </c>
      <c r="F27" s="166">
        <f t="shared" si="3"/>
        <v>1741.9728086000009</v>
      </c>
      <c r="G27" s="4">
        <f t="shared" si="4"/>
        <v>1.9184300000000012E-2</v>
      </c>
    </row>
    <row r="28" spans="1:7" x14ac:dyDescent="0.3">
      <c r="A28" t="s">
        <v>88</v>
      </c>
      <c r="B28" s="166">
        <v>63492</v>
      </c>
      <c r="C28" s="166">
        <f t="shared" si="0"/>
        <v>53771.374799999998</v>
      </c>
      <c r="D28" s="166">
        <f t="shared" si="1"/>
        <v>6933.3263999999999</v>
      </c>
      <c r="E28" s="166">
        <f>B28-C28-D28+3922</f>
        <v>6709.2988000000023</v>
      </c>
      <c r="F28" s="166">
        <f t="shared" si="3"/>
        <v>2931.9635756000011</v>
      </c>
      <c r="G28" s="4">
        <f t="shared" si="4"/>
        <v>4.6178472494172514E-2</v>
      </c>
    </row>
    <row r="29" spans="1:7" x14ac:dyDescent="0.3">
      <c r="A29" t="s">
        <v>89</v>
      </c>
      <c r="B29" s="166">
        <v>294234</v>
      </c>
      <c r="C29" s="166">
        <f t="shared" si="0"/>
        <v>249186.7746</v>
      </c>
      <c r="D29" s="166">
        <f t="shared" si="1"/>
        <v>32130.352800000001</v>
      </c>
      <c r="E29" s="166">
        <f>B29-C29-D29+15962</f>
        <v>28878.872599999995</v>
      </c>
      <c r="F29" s="166">
        <f t="shared" si="3"/>
        <v>12620.067326199998</v>
      </c>
      <c r="G29" s="4">
        <f t="shared" si="4"/>
        <v>4.2891261126178477E-2</v>
      </c>
    </row>
    <row r="30" spans="1:7" x14ac:dyDescent="0.3">
      <c r="A30" t="s">
        <v>90</v>
      </c>
      <c r="B30" s="166">
        <v>115296</v>
      </c>
      <c r="C30" s="166">
        <f t="shared" si="0"/>
        <v>97644.182400000005</v>
      </c>
      <c r="D30" s="166">
        <f t="shared" si="1"/>
        <v>12590.323200000001</v>
      </c>
      <c r="E30" s="166">
        <f t="shared" si="2"/>
        <v>5061.4943999999941</v>
      </c>
      <c r="F30" s="166">
        <f t="shared" si="3"/>
        <v>2211.8730527999974</v>
      </c>
      <c r="G30" s="4">
        <f t="shared" si="4"/>
        <v>1.9184299999999977E-2</v>
      </c>
    </row>
    <row r="31" spans="1:7" x14ac:dyDescent="0.3">
      <c r="A31" t="s">
        <v>93</v>
      </c>
      <c r="B31" s="166">
        <v>271041</v>
      </c>
      <c r="C31" s="166">
        <f t="shared" si="0"/>
        <v>229544.62289999999</v>
      </c>
      <c r="D31" s="166">
        <f t="shared" si="1"/>
        <v>29597.677200000002</v>
      </c>
      <c r="E31" s="166">
        <f t="shared" si="2"/>
        <v>11898.699900000011</v>
      </c>
      <c r="F31" s="166">
        <f t="shared" si="3"/>
        <v>5199.7318563000044</v>
      </c>
      <c r="G31" s="4">
        <f t="shared" si="4"/>
        <v>1.9184300000000015E-2</v>
      </c>
    </row>
    <row r="32" spans="1:7" x14ac:dyDescent="0.3">
      <c r="A32" t="s">
        <v>94</v>
      </c>
      <c r="B32" s="166">
        <v>131341</v>
      </c>
      <c r="C32" s="166">
        <f t="shared" si="0"/>
        <v>111232.69289999999</v>
      </c>
      <c r="D32" s="166">
        <f t="shared" si="1"/>
        <v>14342.4372</v>
      </c>
      <c r="E32" s="166">
        <f t="shared" si="2"/>
        <v>5765.8699000000051</v>
      </c>
      <c r="F32" s="166">
        <f t="shared" si="3"/>
        <v>2519.6851463000021</v>
      </c>
      <c r="G32" s="4">
        <f t="shared" si="4"/>
        <v>1.9184300000000015E-2</v>
      </c>
    </row>
    <row r="33" spans="1:7" x14ac:dyDescent="0.3">
      <c r="A33" t="s">
        <v>97</v>
      </c>
      <c r="B33" s="166">
        <v>142396</v>
      </c>
      <c r="C33" s="166">
        <f t="shared" si="0"/>
        <v>120595.1724</v>
      </c>
      <c r="D33" s="166">
        <f t="shared" si="1"/>
        <v>15549.6432</v>
      </c>
      <c r="E33" s="166">
        <f t="shared" si="2"/>
        <v>6251.1844000000037</v>
      </c>
      <c r="F33" s="166">
        <f t="shared" si="3"/>
        <v>2731.7675828000015</v>
      </c>
      <c r="G33" s="4">
        <f t="shared" si="4"/>
        <v>1.9184300000000012E-2</v>
      </c>
    </row>
    <row r="34" spans="1:7" x14ac:dyDescent="0.3">
      <c r="A34" t="s">
        <v>98</v>
      </c>
      <c r="B34" s="166">
        <v>38504</v>
      </c>
      <c r="C34" s="166">
        <f>B34*0.8469</f>
        <v>32609.0376</v>
      </c>
      <c r="D34" s="166">
        <f>B34*0.1092</f>
        <v>4204.6368000000002</v>
      </c>
      <c r="E34" s="166">
        <f>B34-C34-D34</f>
        <v>1690.3256000000001</v>
      </c>
      <c r="F34" s="166">
        <f t="shared" si="3"/>
        <v>738.67228720000003</v>
      </c>
      <c r="G34" s="4">
        <f>F34/B34</f>
        <v>1.9184300000000001E-2</v>
      </c>
    </row>
    <row r="35" spans="1:7" x14ac:dyDescent="0.3">
      <c r="A35" t="s">
        <v>99</v>
      </c>
      <c r="B35" s="166">
        <v>30350</v>
      </c>
      <c r="C35" s="166">
        <f t="shared" si="0"/>
        <v>25703.415000000001</v>
      </c>
      <c r="D35" s="166">
        <f t="shared" si="1"/>
        <v>3314.2200000000003</v>
      </c>
      <c r="E35" s="166">
        <f t="shared" si="2"/>
        <v>1332.3649999999989</v>
      </c>
      <c r="F35" s="166">
        <f t="shared" si="3"/>
        <v>582.24350499999946</v>
      </c>
      <c r="G35" s="4">
        <f t="shared" si="4"/>
        <v>1.9184299999999981E-2</v>
      </c>
    </row>
    <row r="36" spans="1:7" x14ac:dyDescent="0.3">
      <c r="A36" t="s">
        <v>100</v>
      </c>
      <c r="B36" s="166">
        <v>97818</v>
      </c>
      <c r="C36" s="166">
        <f t="shared" si="0"/>
        <v>82842.064199999993</v>
      </c>
      <c r="D36" s="166">
        <f t="shared" si="1"/>
        <v>10681.7256</v>
      </c>
      <c r="E36" s="166">
        <f t="shared" si="2"/>
        <v>4294.2102000000068</v>
      </c>
      <c r="F36" s="166">
        <f t="shared" si="3"/>
        <v>1876.569857400003</v>
      </c>
      <c r="G36" s="4">
        <f t="shared" si="4"/>
        <v>1.9184300000000029E-2</v>
      </c>
    </row>
    <row r="37" spans="1:7" x14ac:dyDescent="0.3">
      <c r="A37" t="s">
        <v>101</v>
      </c>
      <c r="B37" s="166">
        <v>217653</v>
      </c>
      <c r="C37" s="166">
        <f t="shared" si="0"/>
        <v>184330.32569999999</v>
      </c>
      <c r="D37" s="166">
        <f t="shared" si="1"/>
        <v>23767.707600000002</v>
      </c>
      <c r="E37" s="166">
        <f>B37-C37-D37+11686</f>
        <v>21240.966700000012</v>
      </c>
      <c r="F37" s="166">
        <f t="shared" si="3"/>
        <v>9282.3024479000051</v>
      </c>
      <c r="G37" s="4">
        <f t="shared" si="4"/>
        <v>4.2647252497783193E-2</v>
      </c>
    </row>
    <row r="38" spans="1:7" x14ac:dyDescent="0.3">
      <c r="A38" t="s">
        <v>102</v>
      </c>
      <c r="B38" s="166">
        <v>44634</v>
      </c>
      <c r="C38" s="166">
        <f t="shared" si="0"/>
        <v>37800.534599999999</v>
      </c>
      <c r="D38" s="166">
        <f t="shared" si="1"/>
        <v>4874.0328</v>
      </c>
      <c r="E38" s="166">
        <f t="shared" si="2"/>
        <v>1959.432600000001</v>
      </c>
      <c r="F38" s="166">
        <f t="shared" si="3"/>
        <v>856.27204620000043</v>
      </c>
      <c r="G38" s="4">
        <f t="shared" si="4"/>
        <v>1.9184300000000008E-2</v>
      </c>
    </row>
    <row r="39" spans="1:7" x14ac:dyDescent="0.3">
      <c r="A39" t="s">
        <v>103</v>
      </c>
      <c r="B39" s="166">
        <v>233538</v>
      </c>
      <c r="C39" s="166">
        <f t="shared" si="0"/>
        <v>197783.3322</v>
      </c>
      <c r="D39" s="166">
        <f t="shared" si="1"/>
        <v>25502.349600000001</v>
      </c>
      <c r="E39" s="166">
        <f t="shared" si="2"/>
        <v>10252.318199999994</v>
      </c>
      <c r="F39" s="166">
        <f t="shared" si="3"/>
        <v>4480.2630533999973</v>
      </c>
      <c r="G39" s="4">
        <f t="shared" si="4"/>
        <v>1.9184299999999987E-2</v>
      </c>
    </row>
    <row r="40" spans="1:7" x14ac:dyDescent="0.3">
      <c r="A40" t="s">
        <v>104</v>
      </c>
      <c r="B40" s="166">
        <v>147489</v>
      </c>
      <c r="C40" s="166">
        <f t="shared" si="0"/>
        <v>124908.4341</v>
      </c>
      <c r="D40" s="166">
        <f t="shared" si="1"/>
        <v>16105.7988</v>
      </c>
      <c r="E40" s="166">
        <f t="shared" si="2"/>
        <v>6474.7671000000009</v>
      </c>
      <c r="F40" s="166">
        <f t="shared" si="3"/>
        <v>2829.4732227000004</v>
      </c>
      <c r="G40" s="4">
        <f t="shared" si="4"/>
        <v>1.9184300000000001E-2</v>
      </c>
    </row>
    <row r="41" spans="1:7" x14ac:dyDescent="0.3">
      <c r="A41" t="s">
        <v>95</v>
      </c>
      <c r="B41" s="166">
        <v>858107</v>
      </c>
      <c r="C41" s="166">
        <f t="shared" si="0"/>
        <v>726730.81830000004</v>
      </c>
      <c r="D41" s="166">
        <f t="shared" si="1"/>
        <v>93705.284400000004</v>
      </c>
      <c r="E41" s="166">
        <f>107962</f>
        <v>107962</v>
      </c>
      <c r="F41" s="166">
        <f t="shared" si="3"/>
        <v>47179.394</v>
      </c>
      <c r="G41" s="4">
        <f t="shared" si="4"/>
        <v>5.498078211691549E-2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7" sqref="F7"/>
    </sheetView>
  </sheetViews>
  <sheetFormatPr defaultRowHeight="14.4" x14ac:dyDescent="0.3"/>
  <sheetData>
    <row r="1" spans="1:6" x14ac:dyDescent="0.3">
      <c r="A1" t="s">
        <v>27</v>
      </c>
    </row>
    <row r="2" spans="1:6" x14ac:dyDescent="0.3">
      <c r="D2" t="s">
        <v>8</v>
      </c>
      <c r="E2" t="s">
        <v>9</v>
      </c>
      <c r="F2" t="s">
        <v>10</v>
      </c>
    </row>
    <row r="3" spans="1:6" x14ac:dyDescent="0.3">
      <c r="A3" t="s">
        <v>11</v>
      </c>
      <c r="D3">
        <v>1617134.7</v>
      </c>
      <c r="E3">
        <v>636703.12419988401</v>
      </c>
      <c r="F3">
        <v>0.39372299920339598</v>
      </c>
    </row>
    <row r="4" spans="1:6" x14ac:dyDescent="0.3">
      <c r="A4" t="s">
        <v>12</v>
      </c>
      <c r="D4" s="153">
        <v>444855</v>
      </c>
      <c r="E4">
        <f>D4*F4</f>
        <v>194401.63500000001</v>
      </c>
      <c r="F4">
        <v>0.437</v>
      </c>
    </row>
    <row r="5" spans="1:6" x14ac:dyDescent="0.3">
      <c r="A5" t="s">
        <v>13</v>
      </c>
      <c r="D5">
        <v>3081475.0562999998</v>
      </c>
      <c r="E5">
        <v>0</v>
      </c>
      <c r="F5">
        <v>0</v>
      </c>
    </row>
    <row r="6" spans="1:6" x14ac:dyDescent="0.3">
      <c r="A6" t="s">
        <v>14</v>
      </c>
      <c r="D6" s="140">
        <f>SUM(D3:D5)</f>
        <v>5143464.7562999995</v>
      </c>
      <c r="E6">
        <f>SUM(E3:E5)</f>
        <v>831104.75919988402</v>
      </c>
      <c r="F6">
        <f>SUM(E3:E5)/SUM(D3:D5)</f>
        <v>0.16158461243112457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8" sqref="F8"/>
    </sheetView>
  </sheetViews>
  <sheetFormatPr defaultRowHeight="14.4" x14ac:dyDescent="0.3"/>
  <cols>
    <col min="4" max="4" width="22.21875" customWidth="1"/>
    <col min="5" max="5" width="18.5546875" customWidth="1"/>
    <col min="6" max="6" width="19.21875" customWidth="1"/>
  </cols>
  <sheetData>
    <row r="1" spans="1:6" x14ac:dyDescent="0.3">
      <c r="A1" s="173" t="s">
        <v>18</v>
      </c>
      <c r="B1" s="173"/>
      <c r="C1" s="173"/>
      <c r="D1" s="173"/>
      <c r="E1" s="173"/>
      <c r="F1" s="173"/>
    </row>
    <row r="2" spans="1:6" x14ac:dyDescent="0.3">
      <c r="D2" t="s">
        <v>8</v>
      </c>
      <c r="E2" t="s">
        <v>9</v>
      </c>
      <c r="F2" t="s">
        <v>10</v>
      </c>
    </row>
    <row r="3" spans="1:6" x14ac:dyDescent="0.3">
      <c r="A3" t="s">
        <v>11</v>
      </c>
      <c r="D3">
        <v>3207386.6890000002</v>
      </c>
      <c r="E3">
        <v>1777285.2240696643</v>
      </c>
      <c r="F3">
        <v>0.55412252914966942</v>
      </c>
    </row>
    <row r="4" spans="1:6" x14ac:dyDescent="0.3">
      <c r="A4" t="s">
        <v>12</v>
      </c>
      <c r="D4">
        <v>286392</v>
      </c>
      <c r="E4">
        <v>125153.304</v>
      </c>
      <c r="F4">
        <v>0.437</v>
      </c>
    </row>
    <row r="5" spans="1:6" x14ac:dyDescent="0.3">
      <c r="A5" t="s">
        <v>13</v>
      </c>
      <c r="D5">
        <v>1214816.6699999997</v>
      </c>
      <c r="E5">
        <v>0</v>
      </c>
      <c r="F5">
        <v>0</v>
      </c>
    </row>
    <row r="6" spans="1:6" x14ac:dyDescent="0.3">
      <c r="A6" t="s">
        <v>14</v>
      </c>
      <c r="D6">
        <f>SUM(D3:D5)</f>
        <v>4708595.3590000002</v>
      </c>
      <c r="E6">
        <f>SUM(E3:E5)</f>
        <v>1902438.5280696643</v>
      </c>
      <c r="F6">
        <v>0.40403525531947587</v>
      </c>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8" sqref="F8"/>
    </sheetView>
  </sheetViews>
  <sheetFormatPr defaultRowHeight="14.4" x14ac:dyDescent="0.3"/>
  <cols>
    <col min="4" max="4" width="13" customWidth="1"/>
    <col min="5" max="5" width="14.21875" customWidth="1"/>
  </cols>
  <sheetData>
    <row r="1" spans="1:6" x14ac:dyDescent="0.3">
      <c r="A1" t="s">
        <v>31</v>
      </c>
    </row>
    <row r="2" spans="1:6" ht="66.599999999999994" x14ac:dyDescent="0.3">
      <c r="A2" s="42"/>
      <c r="B2" s="50"/>
      <c r="C2" s="43"/>
      <c r="D2" s="41" t="s">
        <v>8</v>
      </c>
      <c r="E2" s="40" t="s">
        <v>9</v>
      </c>
      <c r="F2" s="40" t="s">
        <v>10</v>
      </c>
    </row>
    <row r="3" spans="1:6" x14ac:dyDescent="0.3">
      <c r="A3" s="44" t="s">
        <v>11</v>
      </c>
      <c r="B3" s="44"/>
      <c r="C3" s="44"/>
      <c r="D3" s="45">
        <v>0</v>
      </c>
      <c r="E3" s="45">
        <v>0</v>
      </c>
      <c r="F3" s="47">
        <v>0</v>
      </c>
    </row>
    <row r="4" spans="1:6" x14ac:dyDescent="0.3">
      <c r="A4" s="44" t="s">
        <v>12</v>
      </c>
      <c r="B4" s="44"/>
      <c r="C4" s="44"/>
      <c r="D4" s="45">
        <v>261402</v>
      </c>
      <c r="E4" s="45">
        <f>D4*F4</f>
        <v>114232.674</v>
      </c>
      <c r="F4" s="47">
        <v>0.437</v>
      </c>
    </row>
    <row r="5" spans="1:6" x14ac:dyDescent="0.3">
      <c r="A5" s="44" t="s">
        <v>13</v>
      </c>
      <c r="B5" s="44"/>
      <c r="C5" s="44"/>
      <c r="D5" s="46">
        <v>731389</v>
      </c>
      <c r="E5" s="49">
        <v>0</v>
      </c>
      <c r="F5" s="48">
        <v>0</v>
      </c>
    </row>
    <row r="6" spans="1:6" x14ac:dyDescent="0.3">
      <c r="A6" s="44" t="s">
        <v>14</v>
      </c>
      <c r="B6" s="44"/>
      <c r="C6" s="44"/>
      <c r="D6" s="45">
        <f>SUM(D3:D5)</f>
        <v>992791</v>
      </c>
      <c r="E6" s="45">
        <f>SUM(E3:E5)</f>
        <v>114232.674</v>
      </c>
      <c r="F6" s="47">
        <f>E6/D6</f>
        <v>0.11506215709046516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8" sqref="F8"/>
    </sheetView>
  </sheetViews>
  <sheetFormatPr defaultRowHeight="14.4" x14ac:dyDescent="0.3"/>
  <cols>
    <col min="5" max="5" width="10.77734375" bestFit="1" customWidth="1"/>
  </cols>
  <sheetData>
    <row r="1" spans="1:6" x14ac:dyDescent="0.3">
      <c r="A1" t="s">
        <v>25</v>
      </c>
    </row>
    <row r="2" spans="1:6" x14ac:dyDescent="0.3">
      <c r="D2" t="s">
        <v>8</v>
      </c>
      <c r="E2" t="s">
        <v>9</v>
      </c>
      <c r="F2" t="s">
        <v>10</v>
      </c>
    </row>
    <row r="3" spans="1:6" x14ac:dyDescent="0.3">
      <c r="A3" t="s">
        <v>11</v>
      </c>
      <c r="D3">
        <v>0</v>
      </c>
      <c r="E3">
        <v>0</v>
      </c>
      <c r="F3">
        <v>0</v>
      </c>
    </row>
    <row r="4" spans="1:6" x14ac:dyDescent="0.3">
      <c r="A4" t="s">
        <v>12</v>
      </c>
      <c r="D4">
        <v>0</v>
      </c>
      <c r="E4">
        <v>0</v>
      </c>
      <c r="F4">
        <v>0.43700000000000006</v>
      </c>
    </row>
    <row r="5" spans="1:6" x14ac:dyDescent="0.3">
      <c r="A5" t="s">
        <v>13</v>
      </c>
      <c r="D5">
        <v>1663746</v>
      </c>
      <c r="E5">
        <v>0</v>
      </c>
      <c r="F5">
        <v>0</v>
      </c>
    </row>
    <row r="6" spans="1:6" x14ac:dyDescent="0.3">
      <c r="A6" t="s">
        <v>14</v>
      </c>
      <c r="D6">
        <f>SUM(D3:D5)</f>
        <v>1663746</v>
      </c>
      <c r="E6">
        <f>SUM(E3:E5)</f>
        <v>0</v>
      </c>
      <c r="F6">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cols>
    <col min="4" max="4" width="17.77734375" customWidth="1"/>
  </cols>
  <sheetData>
    <row r="1" spans="1:6" x14ac:dyDescent="0.3">
      <c r="A1" t="s">
        <v>20</v>
      </c>
    </row>
    <row r="2" spans="1:6" ht="66.599999999999994" x14ac:dyDescent="0.3">
      <c r="A2" s="7"/>
      <c r="B2" s="15"/>
      <c r="C2" s="8"/>
      <c r="D2" s="6" t="s">
        <v>8</v>
      </c>
      <c r="E2" s="5" t="s">
        <v>9</v>
      </c>
      <c r="F2" s="5" t="s">
        <v>10</v>
      </c>
    </row>
    <row r="3" spans="1:6" x14ac:dyDescent="0.3">
      <c r="A3" s="9" t="s">
        <v>11</v>
      </c>
      <c r="B3" s="9"/>
      <c r="C3" s="9"/>
      <c r="D3" s="10">
        <v>0</v>
      </c>
      <c r="E3" s="10">
        <v>0</v>
      </c>
      <c r="F3" s="12">
        <v>0</v>
      </c>
    </row>
    <row r="4" spans="1:6" x14ac:dyDescent="0.3">
      <c r="A4" s="9" t="s">
        <v>12</v>
      </c>
      <c r="B4" s="9"/>
      <c r="C4" s="9"/>
      <c r="D4" s="10">
        <v>72062.432056857026</v>
      </c>
      <c r="E4" s="10">
        <v>31491.282808846521</v>
      </c>
      <c r="F4" s="12">
        <v>0.437</v>
      </c>
    </row>
    <row r="5" spans="1:6" x14ac:dyDescent="0.3">
      <c r="A5" s="9" t="s">
        <v>13</v>
      </c>
      <c r="B5" s="9"/>
      <c r="C5" s="9"/>
      <c r="D5" s="11">
        <v>1729795.4201407912</v>
      </c>
      <c r="E5" s="14">
        <v>0</v>
      </c>
      <c r="F5" s="13">
        <v>0</v>
      </c>
    </row>
    <row r="6" spans="1:6" x14ac:dyDescent="0.3">
      <c r="A6" s="9" t="s">
        <v>14</v>
      </c>
      <c r="B6" s="9"/>
      <c r="C6" s="9"/>
      <c r="D6" s="10">
        <v>1801857.8521976483</v>
      </c>
      <c r="E6" s="10">
        <v>31491.282808846521</v>
      </c>
      <c r="F6" s="12">
        <v>1.7477118281243976E-2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22</v>
      </c>
    </row>
    <row r="2" spans="1:6" ht="66.599999999999994" x14ac:dyDescent="0.3">
      <c r="A2" s="19"/>
      <c r="B2" s="27"/>
      <c r="C2" s="20"/>
      <c r="D2" s="18" t="s">
        <v>8</v>
      </c>
      <c r="E2" s="17" t="s">
        <v>9</v>
      </c>
      <c r="F2" s="17" t="s">
        <v>10</v>
      </c>
    </row>
    <row r="3" spans="1:6" x14ac:dyDescent="0.3">
      <c r="A3" s="21" t="s">
        <v>11</v>
      </c>
      <c r="B3" s="21"/>
      <c r="C3" s="21"/>
      <c r="D3" s="22">
        <v>0</v>
      </c>
      <c r="E3" s="22">
        <v>0</v>
      </c>
      <c r="F3" s="24">
        <v>0</v>
      </c>
    </row>
    <row r="4" spans="1:6" x14ac:dyDescent="0.3">
      <c r="A4" s="21" t="s">
        <v>12</v>
      </c>
      <c r="B4" s="21"/>
      <c r="C4" s="21"/>
      <c r="D4" s="22">
        <v>62305</v>
      </c>
      <c r="E4" s="22">
        <f>D4*0.0437</f>
        <v>2722.7285000000002</v>
      </c>
      <c r="F4" s="24">
        <f>E4/D4</f>
        <v>4.3700000000000003E-2</v>
      </c>
    </row>
    <row r="5" spans="1:6" x14ac:dyDescent="0.3">
      <c r="A5" s="21" t="s">
        <v>13</v>
      </c>
      <c r="B5" s="21"/>
      <c r="C5" s="21"/>
      <c r="D5" s="23">
        <v>541152.09422309999</v>
      </c>
      <c r="E5" s="26">
        <v>0</v>
      </c>
      <c r="F5" s="25">
        <v>0</v>
      </c>
    </row>
    <row r="6" spans="1:6" x14ac:dyDescent="0.3">
      <c r="A6" s="21" t="s">
        <v>14</v>
      </c>
      <c r="B6" s="21"/>
      <c r="C6" s="21"/>
      <c r="D6" s="22">
        <f>SUM(D4:D5)</f>
        <v>603457.09422309999</v>
      </c>
      <c r="E6" s="22">
        <f>SUM(E3:E5)</f>
        <v>2722.7285000000002</v>
      </c>
      <c r="F6" s="24">
        <f>SUM(E3:E5)/SUM(D3:D5)</f>
        <v>4.5118841522698199E-3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Utility Emissions 2020</vt:lpstr>
      <vt:lpstr>BPA Load Following Customers</vt:lpstr>
      <vt:lpstr>Clark PUD</vt:lpstr>
      <vt:lpstr>Avista</vt:lpstr>
      <vt:lpstr>Douglas County PUD</vt:lpstr>
      <vt:lpstr>Chelan PUD</vt:lpstr>
      <vt:lpstr>Benton PUD</vt:lpstr>
      <vt:lpstr>Big Bend Electric Coop</vt:lpstr>
      <vt:lpstr>Centralia City Light</vt:lpstr>
      <vt:lpstr>Clallam PUD</vt:lpstr>
      <vt:lpstr>Clearwater Power</vt:lpstr>
      <vt:lpstr>Cowlitz PUD</vt:lpstr>
      <vt:lpstr>Grays Harbor</vt:lpstr>
      <vt:lpstr>Klickitat PUD</vt:lpstr>
      <vt:lpstr>Lewis County PUD</vt:lpstr>
      <vt:lpstr> Mason County PUD 1</vt:lpstr>
      <vt:lpstr>Mason County PUD 3</vt:lpstr>
      <vt:lpstr>Okanogan PUD 1</vt:lpstr>
      <vt:lpstr>Orcas Power &amp; Light</vt:lpstr>
      <vt:lpstr>PacifiCorp</vt:lpstr>
      <vt:lpstr>Pend Oreille PUD 1</vt:lpstr>
      <vt:lpstr>Peninsula Light</vt:lpstr>
      <vt:lpstr>Puget Sound Energy</vt:lpstr>
      <vt:lpstr>Seattle City Light</vt:lpstr>
      <vt:lpstr>Snohomish County PUD 1</vt:lpstr>
      <vt:lpstr>Tacoma Power</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Reichart, Liz (COM)</dc:creator>
  <cp:lastModifiedBy>Scharff, Austin (COM)</cp:lastModifiedBy>
  <dcterms:created xsi:type="dcterms:W3CDTF">2021-11-16T17:35:25Z</dcterms:created>
  <dcterms:modified xsi:type="dcterms:W3CDTF">2023-05-02T16:51:36Z</dcterms:modified>
</cp:coreProperties>
</file>