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nergy\EIA (I-937)\2017 Reports\"/>
    </mc:Choice>
  </mc:AlternateContent>
  <bookViews>
    <workbookView xWindow="480" yWindow="75" windowWidth="18195" windowHeight="11820"/>
  </bookViews>
  <sheets>
    <sheet name="Renewable by Utility" sheetId="5" r:id="rId1"/>
    <sheet name="Renewable by Type" sheetId="4" r:id="rId2"/>
    <sheet name="Conservation by Utility" sheetId="3" r:id="rId3"/>
    <sheet name="Conservation by Sector" sheetId="1" r:id="rId4"/>
    <sheet name="2017 Reported Data" sheetId="7" r:id="rId5"/>
  </sheets>
  <externalReferences>
    <externalReference r:id="rId6"/>
    <externalReference r:id="rId7"/>
  </externalReferences>
  <definedNames>
    <definedName name="_xlnm._FilterDatabase" localSheetId="4" hidden="1">'2017 Reported Data'!$A$1:$CH$19</definedName>
    <definedName name="CON_2016_Agriculture_Expend">'[1]Conservation Report'!$D$18</definedName>
    <definedName name="CON_2016_Agriculture_MWH">'[1]Conservation Report'!$C$18</definedName>
    <definedName name="CON_2016_Commercial_Expend">'[1]Conservation Report'!$D$16</definedName>
    <definedName name="CON_2016_Commercial_MWH">'[1]Conservation Report'!$C$16</definedName>
    <definedName name="CON_2016_Distribution_Expend">'[1]Conservation Report'!$D$19</definedName>
    <definedName name="CON_2016_Distribution_MWH">'[1]Conservation Report'!$C$19</definedName>
    <definedName name="CON_2016_Expenditures">'[1]Conservation Report'!$D$27</definedName>
    <definedName name="CON_2016_Industrial_Expend">'[1]Conservation Report'!$D$17</definedName>
    <definedName name="CON_2016_Industrial_MWH">'[1]Conservation Report'!$C$17</definedName>
    <definedName name="CON_2016_MWH">'[1]Conservation Report'!$C$27</definedName>
    <definedName name="CON_2016_NEEA_Expend">'[1]Conservation Report'!$D$21</definedName>
    <definedName name="CON_2016_NEEA_MWH">'[1]Conservation Report'!$C$21</definedName>
    <definedName name="CON_2016_OtherSector1_Expend">'[1]Conservation Report'!$D$22</definedName>
    <definedName name="CON_2016_OtherSector1_MWH">'[1]Conservation Report'!$C$22</definedName>
    <definedName name="CON_2016_OtherSector2_Expend">'[1]Conservation Report'!$D$23</definedName>
    <definedName name="CON_2016_OtherSector2_MWH">'[1]Conservation Report'!$C$23</definedName>
    <definedName name="CON_2016_Production_Expend">'[1]Conservation Report'!$D$20</definedName>
    <definedName name="CON_2016_Production_MWH">'[1]Conservation Report'!$C$20</definedName>
    <definedName name="CON_2016_Program1_Expend">'[1]Conservation Report'!$D$25</definedName>
    <definedName name="CON_2016_Program2_Expend">'[1]Conservation Report'!$D$26</definedName>
    <definedName name="CON_2016_Residential_Expend">'[1]Conservation Report'!$D$15</definedName>
    <definedName name="CON_2016_Residential_MWH">'[1]Conservation Report'!$C$15</definedName>
    <definedName name="CON_2017_Agriculture_Expend">'[1]Conservation Report'!$G$18</definedName>
    <definedName name="CON_2017_Agriculture_MWH">'[1]Conservation Report'!$F$18</definedName>
    <definedName name="CON_2017_Commercial_Expend">'[1]Conservation Report'!$G$16</definedName>
    <definedName name="CON_2017_Commercial_MWH">'[1]Conservation Report'!$F$16</definedName>
    <definedName name="CON_2017_Distribution_Expend">'[1]Conservation Report'!$G$19</definedName>
    <definedName name="CON_2017_Distribution_MWH">'[1]Conservation Report'!$F$19</definedName>
    <definedName name="CON_2017_Expenditures">'[1]Conservation Report'!$G$27</definedName>
    <definedName name="CON_2017_Industrial_Expend">'[1]Conservation Report'!$G$17</definedName>
    <definedName name="CON_2017_Industrial_MWH">'[1]Conservation Report'!$F$17</definedName>
    <definedName name="CON_2017_MWH">'[1]Conservation Report'!$F$27</definedName>
    <definedName name="CON_2017_NEEA_Expend">'[1]Conservation Report'!$G$21</definedName>
    <definedName name="CON_2017_NEEA_MWH">'[1]Conservation Report'!$F$21</definedName>
    <definedName name="CON_2017_OtherSector1_Expend">'[1]Conservation Report'!$G$22</definedName>
    <definedName name="CON_2017_OtherSector1_MWH">'[1]Conservation Report'!$F$22</definedName>
    <definedName name="CON_2017_OtherSector2_Expend">'[1]Conservation Report'!$G$23</definedName>
    <definedName name="CON_2017_OtherSector2_MWH">'[1]Conservation Report'!$F$23</definedName>
    <definedName name="CON_2017_Production_Expend">'[1]Conservation Report'!$G$20</definedName>
    <definedName name="CON_2017_Production_MWH">'[1]Conservation Report'!$F$20</definedName>
    <definedName name="CON_2017_Program1_Expend">'[1]Conservation Report'!$G$25</definedName>
    <definedName name="CON_2017_Program2_Expend">'[1]Conservation Report'!$G$26</definedName>
    <definedName name="CON_2017_Residential_Expend">'[1]Conservation Report'!$G$15</definedName>
    <definedName name="CON_2017_Residential_MWH">'[1]Conservation Report'!$F$15</definedName>
    <definedName name="CON_Contact_Name">'[1]Conservation Report'!$B$7</definedName>
    <definedName name="CON_Email">'[1]Conservation Report'!$B$9</definedName>
    <definedName name="CON_Phone">'[1]Conservation Report'!$B$8</definedName>
    <definedName name="CON_Potential_2016_2025">'[1]Conservation Report'!$F$10</definedName>
    <definedName name="CON_Report_Date">'[1]Conservation Report'!$B$6</definedName>
    <definedName name="CON_Target_2016_2017">'[1]Conservation Report'!$G$10</definedName>
    <definedName name="CON_Utility_Name">'[1]Conservation Report'!$B$5</definedName>
    <definedName name="REN_Contact_Name">'[1]Renewables Report'!$C$7</definedName>
    <definedName name="REN_Email">'[1]Renewables Report'!$C$9</definedName>
    <definedName name="REN_ERR_ApprenticeLabor">'[1]Renewables Report'!$M$18</definedName>
    <definedName name="REN_ERR_Biodiesel">'[1]Renewables Report'!$J$18</definedName>
    <definedName name="REN_ERR_Biomass">'[1]Renewables Report'!$K$18</definedName>
    <definedName name="REN_ERR_Geothermal">'[1]Renewables Report'!$F$18</definedName>
    <definedName name="REN_ERR_LandfillGas">'[1]Renewables Report'!$G$18</definedName>
    <definedName name="REN_ERR_QBE">'[1]Renewables Report'!$L$18</definedName>
    <definedName name="REN_ERR_SewageGas">'[1]Renewables Report'!$I$18</definedName>
    <definedName name="REN_ERR_Solar">'[1]Renewables Report'!$E$18</definedName>
    <definedName name="REN_ERR_Water">'[1]Renewables Report'!$C$18</definedName>
    <definedName name="REN_ERR_Wind">'[1]Renewables Report'!$D$18</definedName>
    <definedName name="REN_ERR_WOT">'[1]Renewables Report'!$H$18</definedName>
    <definedName name="REN_Expenditure_Amount_2017">'[1]Renewables Report'!$M$13</definedName>
    <definedName name="REN_Load_2015">'[1]Renewables Report'!$M$5</definedName>
    <definedName name="REN_Load_2016">'[1]Renewables Report'!$M$6</definedName>
    <definedName name="REN_REC_ApprenticeLabor">'[1]Renewables Report'!$M$19</definedName>
    <definedName name="REN_REC_Biodiesel">'[1]Renewables Report'!$J$19</definedName>
    <definedName name="REN_REC_Biomass">'[1]Renewables Report'!$K$19</definedName>
    <definedName name="REN_REC_DistributedGeneration">'[1]Renewables Report'!$N$19</definedName>
    <definedName name="REN_REC_Geothermal">'[1]Renewables Report'!$F$19</definedName>
    <definedName name="REN_REC_LandfillGas">'[1]Renewables Report'!$G$19</definedName>
    <definedName name="REN_REC_QBE">'[1]Renewables Report'!$L$19</definedName>
    <definedName name="REN_REC_SewageGas">'[1]Renewables Report'!$I$19</definedName>
    <definedName name="REN_REC_Solar">'[1]Renewables Report'!$E$19</definedName>
    <definedName name="REN_REC_Wind">'[1]Renewables Report'!$D$19</definedName>
    <definedName name="REN_REC_WOT">'[1]Renewables Report'!$H$19</definedName>
    <definedName name="REN_RetailRevenueRequirement_2017">'[1]Renewables Report'!$M$14</definedName>
    <definedName name="REN_Submittal_Date">'[1]Renewables Report'!$C$6</definedName>
    <definedName name="REN_Total_2017">'[1]Renewables Report'!$M$10</definedName>
    <definedName name="REN_Utility_Name">'[1]Renewables Report'!$C$5</definedName>
  </definedNames>
  <calcPr calcId="162913"/>
</workbook>
</file>

<file path=xl/calcChain.xml><?xml version="1.0" encoding="utf-8"?>
<calcChain xmlns="http://schemas.openxmlformats.org/spreadsheetml/2006/main">
  <c r="CG8" i="7" l="1"/>
  <c r="BP8" i="7"/>
  <c r="BM8" i="7"/>
  <c r="V4" i="7" l="1"/>
  <c r="T4" i="7"/>
  <c r="L4" i="7"/>
  <c r="I4" i="7"/>
  <c r="D4" i="7"/>
  <c r="H4" i="7" l="1"/>
  <c r="G20" i="4" l="1"/>
  <c r="G17" i="4"/>
  <c r="G16" i="4"/>
  <c r="F10" i="4"/>
  <c r="G4" i="4"/>
  <c r="G5" i="4"/>
  <c r="G6" i="4"/>
  <c r="G7" i="4"/>
  <c r="G8" i="4"/>
  <c r="F8" i="4" s="1"/>
  <c r="G9" i="4"/>
  <c r="G10" i="4"/>
  <c r="G11" i="4"/>
  <c r="G12" i="4"/>
  <c r="G3" i="4"/>
  <c r="G13" i="4" l="1"/>
  <c r="BQ18" i="7"/>
  <c r="BQ17" i="7"/>
  <c r="BQ16" i="7"/>
  <c r="BQ15" i="7"/>
  <c r="BQ14" i="7"/>
  <c r="BQ13" i="7"/>
  <c r="BQ12" i="7"/>
  <c r="BQ11" i="7"/>
  <c r="BQ10" i="7"/>
  <c r="BQ9" i="7"/>
  <c r="BQ8" i="7"/>
  <c r="BQ7" i="7"/>
  <c r="BQ6" i="7"/>
  <c r="BQ5" i="7"/>
  <c r="BQ4" i="7"/>
  <c r="BQ3" i="7"/>
  <c r="BQ2" i="7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3" i="1"/>
  <c r="AA19" i="7"/>
  <c r="AB19" i="7"/>
  <c r="AC19" i="7"/>
  <c r="AD19" i="7"/>
  <c r="AE19" i="7"/>
  <c r="AF19" i="7"/>
  <c r="AG19" i="7"/>
  <c r="AH19" i="7"/>
  <c r="AI19" i="7"/>
  <c r="AJ19" i="7"/>
  <c r="AK19" i="7"/>
  <c r="AL19" i="7"/>
  <c r="AM19" i="7"/>
  <c r="AN19" i="7"/>
  <c r="AO19" i="7"/>
  <c r="AP19" i="7"/>
  <c r="AQ19" i="7"/>
  <c r="AR19" i="7"/>
  <c r="AS19" i="7"/>
  <c r="J19" i="7"/>
  <c r="I19" i="7"/>
  <c r="H19" i="7"/>
  <c r="G19" i="7"/>
  <c r="F19" i="7"/>
  <c r="E19" i="7"/>
  <c r="D19" i="7"/>
  <c r="C19" i="7"/>
  <c r="B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Y19" i="7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3" i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3" i="3"/>
  <c r="C17" i="4"/>
  <c r="C16" i="4"/>
  <c r="C12" i="4"/>
  <c r="C11" i="4"/>
  <c r="C10" i="4"/>
  <c r="C9" i="4"/>
  <c r="C8" i="4"/>
  <c r="C7" i="4"/>
  <c r="C6" i="4"/>
  <c r="C5" i="4"/>
  <c r="C4" i="4"/>
  <c r="B16" i="4"/>
  <c r="B12" i="4"/>
  <c r="B11" i="4"/>
  <c r="B10" i="4"/>
  <c r="B9" i="4"/>
  <c r="B8" i="4"/>
  <c r="B7" i="4"/>
  <c r="B6" i="4"/>
  <c r="B5" i="4"/>
  <c r="B4" i="4"/>
  <c r="B3" i="4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4" i="5"/>
  <c r="B5" i="5"/>
  <c r="C5" i="5" s="1"/>
  <c r="B6" i="5"/>
  <c r="C6" i="5" s="1"/>
  <c r="B7" i="5"/>
  <c r="B8" i="5"/>
  <c r="C8" i="5" s="1"/>
  <c r="B9" i="5"/>
  <c r="C9" i="5" s="1"/>
  <c r="B10" i="5"/>
  <c r="C10" i="5" s="1"/>
  <c r="B11" i="5"/>
  <c r="B12" i="5"/>
  <c r="C12" i="5" s="1"/>
  <c r="B13" i="5"/>
  <c r="C13" i="5" s="1"/>
  <c r="B14" i="5"/>
  <c r="C14" i="5" s="1"/>
  <c r="B15" i="5"/>
  <c r="B16" i="5"/>
  <c r="C16" i="5" s="1"/>
  <c r="B17" i="5"/>
  <c r="C17" i="5" s="1"/>
  <c r="B18" i="5"/>
  <c r="B19" i="5"/>
  <c r="C19" i="5" s="1"/>
  <c r="B20" i="5"/>
  <c r="C20" i="5" s="1"/>
  <c r="B4" i="5"/>
  <c r="C4" i="5" s="1"/>
  <c r="CG19" i="7"/>
  <c r="CE19" i="7"/>
  <c r="BS19" i="7"/>
  <c r="BR19" i="7"/>
  <c r="BP19" i="7"/>
  <c r="BA19" i="7"/>
  <c r="AZ19" i="7"/>
  <c r="Z19" i="7"/>
  <c r="K19" i="7"/>
  <c r="E12" i="3" l="1"/>
  <c r="E8" i="3"/>
  <c r="E4" i="3"/>
  <c r="H17" i="1"/>
  <c r="H15" i="1"/>
  <c r="E15" i="3"/>
  <c r="E11" i="3"/>
  <c r="E14" i="3"/>
  <c r="E10" i="3"/>
  <c r="E6" i="3"/>
  <c r="E17" i="3"/>
  <c r="E13" i="3"/>
  <c r="E9" i="3"/>
  <c r="E5" i="3"/>
  <c r="E18" i="3"/>
  <c r="E19" i="3"/>
  <c r="E7" i="3"/>
  <c r="E3" i="3"/>
  <c r="H16" i="1"/>
  <c r="F20" i="1"/>
  <c r="D20" i="3"/>
  <c r="E16" i="3"/>
  <c r="B20" i="1"/>
  <c r="C20" i="1"/>
  <c r="E20" i="1"/>
  <c r="G20" i="1"/>
  <c r="D20" i="1"/>
  <c r="BQ19" i="7"/>
  <c r="F21" i="5" s="1"/>
  <c r="C13" i="4"/>
  <c r="D12" i="4"/>
  <c r="F12" i="4" s="1"/>
  <c r="B13" i="4"/>
  <c r="C15" i="5"/>
  <c r="C11" i="5"/>
  <c r="C7" i="5"/>
  <c r="C18" i="5"/>
  <c r="E17" i="5" l="1"/>
  <c r="D3" i="4" l="1"/>
  <c r="F3" i="4" s="1"/>
  <c r="B18" i="4"/>
  <c r="D17" i="4"/>
  <c r="F17" i="4" s="1"/>
  <c r="D11" i="4" l="1"/>
  <c r="F11" i="4" s="1"/>
  <c r="E6" i="5"/>
  <c r="E19" i="5"/>
  <c r="E10" i="5"/>
  <c r="E14" i="5"/>
  <c r="D4" i="4"/>
  <c r="F4" i="4" s="1"/>
  <c r="E8" i="5"/>
  <c r="E12" i="5"/>
  <c r="E16" i="5"/>
  <c r="E15" i="5"/>
  <c r="E18" i="5"/>
  <c r="E20" i="5"/>
  <c r="E4" i="5"/>
  <c r="E7" i="5"/>
  <c r="E11" i="5"/>
  <c r="D21" i="5"/>
  <c r="E5" i="5"/>
  <c r="E9" i="5"/>
  <c r="E13" i="5"/>
  <c r="D10" i="4"/>
  <c r="C18" i="4"/>
  <c r="D9" i="4"/>
  <c r="F9" i="4" s="1"/>
  <c r="D7" i="4"/>
  <c r="F7" i="4" s="1"/>
  <c r="D6" i="4"/>
  <c r="F6" i="4" s="1"/>
  <c r="D8" i="4"/>
  <c r="D5" i="4"/>
  <c r="F5" i="4" s="1"/>
  <c r="B20" i="4"/>
  <c r="D16" i="4"/>
  <c r="B20" i="3"/>
  <c r="B21" i="5"/>
  <c r="C20" i="3"/>
  <c r="D18" i="4" l="1"/>
  <c r="F16" i="4"/>
  <c r="E20" i="3"/>
  <c r="D13" i="4"/>
  <c r="C20" i="4"/>
  <c r="E21" i="5"/>
  <c r="H10" i="1"/>
  <c r="H6" i="1"/>
  <c r="C21" i="5"/>
  <c r="H11" i="1"/>
  <c r="H4" i="1"/>
  <c r="H3" i="1"/>
  <c r="H13" i="1"/>
  <c r="H5" i="1"/>
  <c r="H19" i="1"/>
  <c r="H12" i="1"/>
  <c r="H7" i="1"/>
  <c r="H9" i="1"/>
  <c r="H8" i="1"/>
  <c r="H18" i="1"/>
  <c r="H14" i="1"/>
  <c r="D20" i="4" l="1"/>
  <c r="E16" i="4" s="1"/>
  <c r="F13" i="4"/>
  <c r="E8" i="4"/>
  <c r="E7" i="4"/>
  <c r="E3" i="4"/>
  <c r="E9" i="4"/>
  <c r="H20" i="1"/>
  <c r="E11" i="4" l="1"/>
  <c r="E10" i="4"/>
  <c r="E6" i="4"/>
  <c r="E17" i="4"/>
  <c r="E4" i="4"/>
  <c r="E5" i="4"/>
  <c r="E20" i="4" s="1"/>
  <c r="E12" i="4"/>
  <c r="F20" i="4"/>
</calcChain>
</file>

<file path=xl/sharedStrings.xml><?xml version="1.0" encoding="utf-8"?>
<sst xmlns="http://schemas.openxmlformats.org/spreadsheetml/2006/main" count="343" uniqueCount="243">
  <si>
    <t>Utility</t>
  </si>
  <si>
    <t>Avista</t>
  </si>
  <si>
    <t>Benton PUD</t>
  </si>
  <si>
    <t>Chelan PUD</t>
  </si>
  <si>
    <t>Clallam PUD</t>
  </si>
  <si>
    <t>Cowlitz PUD</t>
  </si>
  <si>
    <t>Grant PUD</t>
  </si>
  <si>
    <t>Grays Harbor PUD</t>
  </si>
  <si>
    <t xml:space="preserve">Inland Power </t>
  </si>
  <si>
    <t>Lewis PUD</t>
  </si>
  <si>
    <t>Mason PUD #3</t>
  </si>
  <si>
    <t>Peninsula Light</t>
  </si>
  <si>
    <t>Seattle City Light</t>
  </si>
  <si>
    <t>Snohomish PUD</t>
  </si>
  <si>
    <t>Puget Sound Energy</t>
  </si>
  <si>
    <t>Pacific Power</t>
  </si>
  <si>
    <t>CON_Contact_Name</t>
  </si>
  <si>
    <t>CON_Email</t>
  </si>
  <si>
    <t>CON_Phone</t>
  </si>
  <si>
    <t>CON_Report_Date</t>
  </si>
  <si>
    <t>CON_Utility_Name</t>
  </si>
  <si>
    <t>REN_Contact_Name</t>
  </si>
  <si>
    <t>REN_Email</t>
  </si>
  <si>
    <t>REN_ERR_ApprenticeLabor</t>
  </si>
  <si>
    <t>REN_ERR_Biodiesel</t>
  </si>
  <si>
    <t>REN_ERR_Biomass</t>
  </si>
  <si>
    <t>REN_ERR_Geothermal</t>
  </si>
  <si>
    <t>REN_ERR_LandfillGas</t>
  </si>
  <si>
    <t>REN_ERR_SewageGas</t>
  </si>
  <si>
    <t>REN_ERR_Solar</t>
  </si>
  <si>
    <t>REN_ERR_Water</t>
  </si>
  <si>
    <t>REN_ERR_Wind</t>
  </si>
  <si>
    <t>REN_ERR_WOT</t>
  </si>
  <si>
    <t>REN_REC_ApprenticeLabor</t>
  </si>
  <si>
    <t>REN_REC_Biodiesel</t>
  </si>
  <si>
    <t>REN_REC_Biomass</t>
  </si>
  <si>
    <t>REN_REC_DistributedGeneration</t>
  </si>
  <si>
    <t>REN_REC_Geothermal</t>
  </si>
  <si>
    <t>REN_REC_LandfillGas</t>
  </si>
  <si>
    <t>REN_REC_SewageGas</t>
  </si>
  <si>
    <t>REN_REC_Solar</t>
  </si>
  <si>
    <t>REN_REC_Wind</t>
  </si>
  <si>
    <t>REN_REC_WOT</t>
  </si>
  <si>
    <t>REN_Submittal_Date</t>
  </si>
  <si>
    <t>REN_Utility_Name</t>
  </si>
  <si>
    <t>mark.baker@avistacorp.com</t>
  </si>
  <si>
    <t>(509) 495-4864</t>
  </si>
  <si>
    <t>melissa.lyons@chelanpud.org</t>
  </si>
  <si>
    <t>Clark Public Utilities</t>
  </si>
  <si>
    <t>Cowlitz County PUD</t>
  </si>
  <si>
    <t>ghuhta@cowlitzpud.org</t>
  </si>
  <si>
    <t>PUD #1 of Grays Harbor County</t>
  </si>
  <si>
    <t>mjames@ghpud.org</t>
  </si>
  <si>
    <t>Inland Power and Light Co.</t>
  </si>
  <si>
    <t>johnf@inlandpower.com</t>
  </si>
  <si>
    <t>Pacific Power &amp; Light Company</t>
  </si>
  <si>
    <t>Peninsula Light Company</t>
  </si>
  <si>
    <t>Sharon Silver / Power Resources</t>
  </si>
  <si>
    <t>sharons@penlight.org</t>
  </si>
  <si>
    <t>253.857.1526</t>
  </si>
  <si>
    <t>Snohomish County PUD</t>
  </si>
  <si>
    <t>Anna Berg</t>
  </si>
  <si>
    <t>Tacoma Power</t>
  </si>
  <si>
    <t>Total</t>
  </si>
  <si>
    <t>Water</t>
  </si>
  <si>
    <t>Wind</t>
  </si>
  <si>
    <t>Solar</t>
  </si>
  <si>
    <t>Geothermal</t>
  </si>
  <si>
    <t>Landfill Gas</t>
  </si>
  <si>
    <t>Biomass Energy</t>
  </si>
  <si>
    <t>Eligible Renewable Resource</t>
  </si>
  <si>
    <t>Multiplier Factors</t>
  </si>
  <si>
    <t>Apprentice Labor</t>
  </si>
  <si>
    <t>Distributed Generation</t>
  </si>
  <si>
    <t>Total Multipliers</t>
  </si>
  <si>
    <t>Total Generation and Multipliers</t>
  </si>
  <si>
    <t>NA</t>
  </si>
  <si>
    <t>Biodiesel Energy</t>
  </si>
  <si>
    <t xml:space="preserve">Wave, Ocean, Tidal </t>
  </si>
  <si>
    <t>Gas from Sewage Treatment</t>
  </si>
  <si>
    <t>Energy (MWh)</t>
  </si>
  <si>
    <t>Total Electric Generation</t>
  </si>
  <si>
    <t>Residential</t>
  </si>
  <si>
    <t>Commercial</t>
  </si>
  <si>
    <t>Industrial</t>
  </si>
  <si>
    <t>Agricultural</t>
  </si>
  <si>
    <t>NEEA</t>
  </si>
  <si>
    <t>Other</t>
  </si>
  <si>
    <t>Distribution</t>
  </si>
  <si>
    <t>http://www.commerce.wa.gov/EIA</t>
  </si>
  <si>
    <t>Mark Baker, Demand Side Management</t>
  </si>
  <si>
    <t>James Dykes / Power Management</t>
  </si>
  <si>
    <t>dykesj@bentonpud.org</t>
  </si>
  <si>
    <t>509-582-1267</t>
  </si>
  <si>
    <t>james.white@chelanpud.org</t>
  </si>
  <si>
    <t>509-661-4829</t>
  </si>
  <si>
    <t>Public Utility District No. 1 of Chelan County</t>
  </si>
  <si>
    <t>PUD #1 of Clallam County</t>
  </si>
  <si>
    <t>509.789.4231</t>
  </si>
  <si>
    <t>norm@lcpud.org</t>
  </si>
  <si>
    <t>360.740.2430</t>
  </si>
  <si>
    <t>Mason County PUD No. 3</t>
  </si>
  <si>
    <t>chris.schaefer@pse.com</t>
  </si>
  <si>
    <t>jstafford@cityoftacoma.org</t>
  </si>
  <si>
    <t>Utility Name</t>
  </si>
  <si>
    <t>CON_Potential_2016_2025</t>
  </si>
  <si>
    <t>CON_Target_2016_2017</t>
  </si>
  <si>
    <t>REN_ERR_QBE</t>
  </si>
  <si>
    <t>REN_Load_2015</t>
  </si>
  <si>
    <t>REC_REC_QBE</t>
  </si>
  <si>
    <t>REN_RetailRevenueRequirement_2016</t>
  </si>
  <si>
    <t>Public Utility District No. 1 of Benton County</t>
  </si>
  <si>
    <t>Melissa Lyons/Energy Planning &amp; Trading</t>
  </si>
  <si>
    <t>lblaufus@clarkpud.com</t>
  </si>
  <si>
    <t>360-992-3598</t>
  </si>
  <si>
    <t>Public Utility District No. 2 of Grant County</t>
  </si>
  <si>
    <t>Lewis County PUD</t>
  </si>
  <si>
    <t>matts@lcpud.org</t>
  </si>
  <si>
    <t>Michele Patterson, Power Supply / Conservation</t>
  </si>
  <si>
    <t>michelep@masonpud3.org</t>
  </si>
  <si>
    <t>(360) 432-5325</t>
  </si>
  <si>
    <t>Ariel Son</t>
  </si>
  <si>
    <t>ariel.son@pacificorp.com</t>
  </si>
  <si>
    <t>425 424-6837</t>
  </si>
  <si>
    <t>Chris Schaefer</t>
  </si>
  <si>
    <t>namoreland@snopud.com</t>
  </si>
  <si>
    <t>425-783-1879</t>
  </si>
  <si>
    <t>ajberg@snopud.com</t>
  </si>
  <si>
    <t>John Walkowiak</t>
  </si>
  <si>
    <t>jwalkowiak@cityoftacoma.org</t>
  </si>
  <si>
    <t>Qualified Biomass Energy</t>
  </si>
  <si>
    <t>Note:</t>
  </si>
  <si>
    <t>2016-17 Conservation Target (MWh)</t>
  </si>
  <si>
    <t>John Lyons / Energy Resources</t>
  </si>
  <si>
    <t>john.lyons@avistacorp.com</t>
  </si>
  <si>
    <t>CON_2016_Agriculture_Expend</t>
  </si>
  <si>
    <t>CON_2016_Agriculture_MWH</t>
  </si>
  <si>
    <t>CON_2016_Commercial_Expend</t>
  </si>
  <si>
    <t>CON_2016_Commercial_MWH</t>
  </si>
  <si>
    <t>CON_2016_Distribution_Expend</t>
  </si>
  <si>
    <t>CON_2016_Distribution_MWH</t>
  </si>
  <si>
    <t>CON_2016_Expenditures</t>
  </si>
  <si>
    <t>CON_2016_Industrial_Expend</t>
  </si>
  <si>
    <t>CON_2016_Industrial_MWH</t>
  </si>
  <si>
    <t>CON_2016_MWH</t>
  </si>
  <si>
    <t>CON_2016_NEEA_Expend</t>
  </si>
  <si>
    <t>CON_2016_NEEA_MWH</t>
  </si>
  <si>
    <t>CON_2016_OtherSector1_Expend</t>
  </si>
  <si>
    <t>CON_2016_OtherSector1_MWH</t>
  </si>
  <si>
    <t>CON_2016_OtherSector2_Expend</t>
  </si>
  <si>
    <t>CON_2016_OtherSector2_MWH</t>
  </si>
  <si>
    <t>CON_2016_Production_Expend</t>
  </si>
  <si>
    <t>CON_2016_Production_MWH</t>
  </si>
  <si>
    <t>CON_2016_Program1_Expend</t>
  </si>
  <si>
    <t>CON_2016_Program2_Expend</t>
  </si>
  <si>
    <t>CON_2016_Residential_Expend</t>
  </si>
  <si>
    <t>CON_2016_Residential_MWH</t>
  </si>
  <si>
    <t>CON_2017_Agriculture_Expend</t>
  </si>
  <si>
    <t>CON_2017_Agriculture_MWH</t>
  </si>
  <si>
    <t>CON_2017_Commercial_Expend</t>
  </si>
  <si>
    <t>CON_2017_Commercial_MWH</t>
  </si>
  <si>
    <t>CON_2017_Distribution_Expend</t>
  </si>
  <si>
    <t>CON_2017_Distribution_MWH</t>
  </si>
  <si>
    <t>CON_2017_Expenditures</t>
  </si>
  <si>
    <t>CON_2017_Industrial_Expend</t>
  </si>
  <si>
    <t>CON_2017_Industrial_MWH</t>
  </si>
  <si>
    <t>CON_2017_MWH</t>
  </si>
  <si>
    <t>CON_2017_NEEA_Expend</t>
  </si>
  <si>
    <t>CON_2017_NEEA_MWH</t>
  </si>
  <si>
    <t>CON_2017_OtherSector1_Expend</t>
  </si>
  <si>
    <t>CON_2017_OtherSector1_MWH</t>
  </si>
  <si>
    <t>CON_2017_OtherSector2_Expend</t>
  </si>
  <si>
    <t>CON_2017_OtherSector2_MWH</t>
  </si>
  <si>
    <t>CON_2017_Production_Expend</t>
  </si>
  <si>
    <t>CON_2017_Production_MWH</t>
  </si>
  <si>
    <t>CON_2017_Program1_Expend</t>
  </si>
  <si>
    <t>CON_2017_Program2_Expend</t>
  </si>
  <si>
    <t>CON_2017_Residential_Expend</t>
  </si>
  <si>
    <t>CON_2017_Residential_MWH</t>
  </si>
  <si>
    <t>REN_Expenditure_Amount_2017</t>
  </si>
  <si>
    <t>REN_Load_2016</t>
  </si>
  <si>
    <t>REN_Total_2017</t>
  </si>
  <si>
    <t>June, 1 2017</t>
  </si>
  <si>
    <t>Jim White/Energy Development &amp; Conservation</t>
  </si>
  <si>
    <t>Sean Worthington / Customer Services Manager</t>
  </si>
  <si>
    <t>SWorthington@ClallamPUD.net</t>
  </si>
  <si>
    <t>(360) 565-3240</t>
  </si>
  <si>
    <t>Beau Brown / Treasurer Controller</t>
  </si>
  <si>
    <t>bbrown@clallampud.net</t>
  </si>
  <si>
    <t>Larry Blaufus</t>
  </si>
  <si>
    <t>Dan Bedbury/Energy Resources</t>
  </si>
  <si>
    <t>dbedbury@clarkpud.com</t>
  </si>
  <si>
    <t>Gary Huhta, Power Manager</t>
  </si>
  <si>
    <t>360-501-9513</t>
  </si>
  <si>
    <t>Richard Cole/ Energy Services</t>
  </si>
  <si>
    <t>rcole@gcpud.org</t>
  </si>
  <si>
    <t>(509)793-1508</t>
  </si>
  <si>
    <t>Paul Dietz, Wholesale Power Supply</t>
  </si>
  <si>
    <t>PDIETZ@GCPUD.ORG</t>
  </si>
  <si>
    <t>Melinda James -Saffron/Power &amp; Energy Services</t>
  </si>
  <si>
    <t>360-538-6440</t>
  </si>
  <si>
    <t>Melinda James-Saffron/Power &amp; Energy Services</t>
  </si>
  <si>
    <t>John Francisco</t>
  </si>
  <si>
    <t>Norm Goodbla</t>
  </si>
  <si>
    <t>chr</t>
  </si>
  <si>
    <t>Matt Samuelson</t>
  </si>
  <si>
    <t>Cory Scott</t>
  </si>
  <si>
    <t>Cory.Scott@Pacificorp.com</t>
  </si>
  <si>
    <t>503-813-6011</t>
  </si>
  <si>
    <t>Dan Anderson/Energy Efficiency Services</t>
  </si>
  <si>
    <t>Daniel.anderson@pse.com</t>
  </si>
  <si>
    <t>Kali Hollenhorst/Customer Energy Solutions</t>
  </si>
  <si>
    <t>kali.hollenhorst@seattle.gov</t>
  </si>
  <si>
    <t>206-684-3645</t>
  </si>
  <si>
    <t>Seattle City Light/Eric Espenhorst</t>
  </si>
  <si>
    <t>Eric.Espenhorst@Seattle.gov</t>
  </si>
  <si>
    <t>Nicole Moreland, Business Operations</t>
  </si>
  <si>
    <t>Jeff Stafford</t>
  </si>
  <si>
    <t>253-502-8940</t>
  </si>
  <si>
    <t>2017 Renewable Energy for Washington Qualifying Utilities</t>
  </si>
  <si>
    <t>Clark Public Utilities intends to comply under the 4% incremental cost cap provision.</t>
  </si>
  <si>
    <t>Source: Utility reports submitted June 1, 2017. Available at:</t>
  </si>
  <si>
    <t>Qualified Biomass Energy is from generating units that commenced operation before 1999.</t>
  </si>
  <si>
    <t>2016 Conservation Acquired (MWh)</t>
  </si>
  <si>
    <t>2017 Conservation Acquired (MWh)</t>
  </si>
  <si>
    <t>2016 Conservation as a Percent of 2016-17 Target</t>
  </si>
  <si>
    <t>2016 Conservation Acquisitions by End Use Sector</t>
  </si>
  <si>
    <t>2016-2017 Conservation Targets and Acquisitions</t>
  </si>
  <si>
    <t>2017 Renewable Resources and RECs by Resource Type</t>
  </si>
  <si>
    <t>Renewable Energy Certificates</t>
  </si>
  <si>
    <t>One renewable energy certificate (REC) is equal to one megawatt-hour (MWh).</t>
  </si>
  <si>
    <t>Notes:</t>
  </si>
  <si>
    <t>2016 Total</t>
  </si>
  <si>
    <t>Change from 2016 to 2017</t>
  </si>
  <si>
    <t>Percent of 2017 Total</t>
  </si>
  <si>
    <t>(MWh)</t>
  </si>
  <si>
    <t>(% of load)</t>
  </si>
  <si>
    <t>(% of revenue requirement)</t>
  </si>
  <si>
    <t>Incremental Cost of Renewable Energy and RECs</t>
  </si>
  <si>
    <t>Qualifying Renewables for 2017</t>
  </si>
  <si>
    <t>9% Renewable Target for 2017</t>
  </si>
  <si>
    <t xml:space="preserve">Average Load 2015-2016 </t>
  </si>
  <si>
    <t>revised July 10, 2017 (Avista historical loads)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</si>
</sst>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164" fontId="0" fillId="0" borderId="0" xfId="1" applyNumberFormat="1" applyFont="1"/>
    <xf numFmtId="9" fontId="0" fillId="0" borderId="0" xfId="2" applyFont="1"/>
    <xf numFmtId="165" fontId="0" fillId="0" borderId="0" xfId="2" applyNumberFormat="1" applyFont="1"/>
    <xf numFmtId="0" fontId="2" fillId="0" borderId="1" xfId="0" applyFont="1" applyBorder="1" applyAlignment="1">
      <alignment horizontal="center" wrapText="1"/>
    </xf>
    <xf numFmtId="164" fontId="0" fillId="0" borderId="1" xfId="1" applyNumberFormat="1" applyFont="1" applyBorder="1"/>
    <xf numFmtId="165" fontId="0" fillId="0" borderId="1" xfId="2" applyNumberFormat="1" applyFont="1" applyBorder="1"/>
    <xf numFmtId="9" fontId="0" fillId="0" borderId="0" xfId="0" applyNumberFormat="1"/>
    <xf numFmtId="164" fontId="3" fillId="0" borderId="0" xfId="1" applyNumberFormat="1" applyFont="1" applyAlignment="1">
      <alignment horizontal="right"/>
    </xf>
    <xf numFmtId="164" fontId="3" fillId="0" borderId="0" xfId="1" applyNumberFormat="1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Font="1"/>
    <xf numFmtId="164" fontId="0" fillId="0" borderId="0" xfId="0" applyNumberFormat="1" applyFont="1"/>
    <xf numFmtId="0" fontId="0" fillId="0" borderId="1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7" fillId="0" borderId="0" xfId="3"/>
    <xf numFmtId="9" fontId="0" fillId="0" borderId="1" xfId="2" applyFont="1" applyBorder="1"/>
    <xf numFmtId="9" fontId="0" fillId="0" borderId="1" xfId="0" applyNumberFormat="1" applyBorder="1"/>
    <xf numFmtId="0" fontId="2" fillId="0" borderId="3" xfId="0" applyFont="1" applyFill="1" applyBorder="1" applyAlignment="1">
      <alignment horizontal="center" wrapText="1"/>
    </xf>
    <xf numFmtId="0" fontId="7" fillId="0" borderId="0" xfId="3" applyAlignment="1">
      <alignment horizontal="left"/>
    </xf>
    <xf numFmtId="0" fontId="0" fillId="0" borderId="0" xfId="0" applyAlignment="1">
      <alignment horizontal="center" wrapText="1"/>
    </xf>
    <xf numFmtId="10" fontId="0" fillId="0" borderId="0" xfId="2" applyNumberFormat="1" applyFont="1"/>
    <xf numFmtId="0" fontId="2" fillId="0" borderId="0" xfId="0" applyFont="1" applyFill="1" applyBorder="1" applyAlignment="1">
      <alignment horizontal="center" wrapText="1"/>
    </xf>
    <xf numFmtId="164" fontId="0" fillId="0" borderId="0" xfId="1" applyNumberFormat="1" applyFont="1" applyFill="1"/>
    <xf numFmtId="164" fontId="0" fillId="0" borderId="0" xfId="1" applyNumberFormat="1" applyFont="1" applyFill="1" applyAlignment="1">
      <alignment horizontal="right"/>
    </xf>
    <xf numFmtId="1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0" fillId="0" borderId="0" xfId="0" applyNumberFormat="1" applyFill="1"/>
    <xf numFmtId="0" fontId="2" fillId="0" borderId="0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Font="1" applyAlignment="1">
      <alignment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47625</xdr:rowOff>
    </xdr:from>
    <xdr:to>
      <xdr:col>3</xdr:col>
      <xdr:colOff>876300</xdr:colOff>
      <xdr:row>19</xdr:row>
      <xdr:rowOff>123825</xdr:rowOff>
    </xdr:to>
    <xdr:sp macro="" textlink="">
      <xdr:nvSpPr>
        <xdr:cNvPr id="2" name="TextBox 1"/>
        <xdr:cNvSpPr txBox="1"/>
      </xdr:nvSpPr>
      <xdr:spPr>
        <a:xfrm>
          <a:off x="3152775" y="1047750"/>
          <a:ext cx="771525" cy="331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n-US" sz="1100"/>
            <a:t>2017 Conservation will be reported in 2018.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s/Energy-EIA-2017-Grant-PUD-rev201606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ergy/EIA%20(I-937)/2016%20Reports/EIA-2016-Report-Summary-and-Detail-rev20161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ground"/>
      <sheetName val="Instructions - Revise 2015"/>
      <sheetName val="Conservation Report"/>
      <sheetName val="Renewables Report"/>
      <sheetName val="Renewable Cost Report"/>
      <sheetName val="WREGIS"/>
      <sheetName val="Prior Report Data"/>
      <sheetName val="Data"/>
    </sheetNames>
    <sheetDataSet>
      <sheetData sheetId="0"/>
      <sheetData sheetId="1"/>
      <sheetData sheetId="2">
        <row r="5">
          <cell r="B5" t="str">
            <v>Public Utility District No. 2 of Grant County</v>
          </cell>
        </row>
        <row r="6">
          <cell r="B6">
            <v>42857</v>
          </cell>
        </row>
        <row r="7">
          <cell r="B7" t="str">
            <v>Richard Cole/ Energy Services</v>
          </cell>
        </row>
        <row r="8">
          <cell r="B8" t="str">
            <v>(509)793-1508</v>
          </cell>
        </row>
        <row r="9">
          <cell r="B9" t="str">
            <v>rcole@gcpud.org</v>
          </cell>
        </row>
        <row r="10">
          <cell r="F10">
            <v>175550</v>
          </cell>
          <cell r="G10">
            <v>26718</v>
          </cell>
        </row>
        <row r="15">
          <cell r="C15">
            <v>1249.69</v>
          </cell>
          <cell r="D15">
            <v>281540</v>
          </cell>
        </row>
        <row r="16">
          <cell r="C16">
            <v>2289.9299999999998</v>
          </cell>
          <cell r="D16">
            <v>437065</v>
          </cell>
        </row>
        <row r="17">
          <cell r="C17">
            <v>15279.02</v>
          </cell>
          <cell r="D17">
            <v>1035608</v>
          </cell>
        </row>
        <row r="18">
          <cell r="C18">
            <v>1838.3</v>
          </cell>
          <cell r="D18">
            <v>321011</v>
          </cell>
        </row>
        <row r="21">
          <cell r="C21">
            <v>1356</v>
          </cell>
          <cell r="D21">
            <v>549747</v>
          </cell>
        </row>
        <row r="27">
          <cell r="C27">
            <v>22012.94</v>
          </cell>
          <cell r="D27">
            <v>2624971</v>
          </cell>
          <cell r="F27">
            <v>0</v>
          </cell>
          <cell r="G27">
            <v>0</v>
          </cell>
        </row>
      </sheetData>
      <sheetData sheetId="3">
        <row r="5">
          <cell r="C5" t="str">
            <v>Public Utility District No. 2 of Grant County</v>
          </cell>
          <cell r="M5">
            <v>4539788.8210000005</v>
          </cell>
        </row>
        <row r="6">
          <cell r="C6">
            <v>42857</v>
          </cell>
          <cell r="M6">
            <v>4355188.8684400003</v>
          </cell>
        </row>
        <row r="7">
          <cell r="C7" t="str">
            <v>Paul Dietz, Wholesale Power Supply</v>
          </cell>
        </row>
        <row r="9">
          <cell r="C9" t="str">
            <v>PDIETZ@GCPUD.ORG</v>
          </cell>
        </row>
        <row r="10">
          <cell r="M10">
            <v>868598</v>
          </cell>
        </row>
        <row r="13">
          <cell r="M13">
            <v>319087.85368193244</v>
          </cell>
        </row>
        <row r="14">
          <cell r="M14">
            <v>194447000</v>
          </cell>
        </row>
        <row r="18">
          <cell r="C18">
            <v>837674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D19">
            <v>30924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ble by Utility"/>
      <sheetName val="Renewable by Type"/>
      <sheetName val="Conservation by Utility"/>
      <sheetName val="Conservation by Sector"/>
      <sheetName val="2016 Reported Data"/>
    </sheetNames>
    <sheetDataSet>
      <sheetData sheetId="0"/>
      <sheetData sheetId="1">
        <row r="3">
          <cell r="D3">
            <v>873355</v>
          </cell>
        </row>
        <row r="4">
          <cell r="D4">
            <v>5018613.4412765671</v>
          </cell>
        </row>
        <row r="5">
          <cell r="D5">
            <v>8180</v>
          </cell>
        </row>
        <row r="6">
          <cell r="D6">
            <v>75357</v>
          </cell>
        </row>
        <row r="7">
          <cell r="D7">
            <v>121415</v>
          </cell>
        </row>
        <row r="8">
          <cell r="D8">
            <v>0</v>
          </cell>
        </row>
        <row r="9">
          <cell r="D9">
            <v>17500</v>
          </cell>
        </row>
        <row r="10">
          <cell r="D10">
            <v>0</v>
          </cell>
        </row>
        <row r="11">
          <cell r="D11">
            <v>312783</v>
          </cell>
        </row>
        <row r="12">
          <cell r="D12">
            <v>288970</v>
          </cell>
        </row>
        <row r="16">
          <cell r="D16">
            <v>238387.20000000001</v>
          </cell>
        </row>
        <row r="17">
          <cell r="D17">
            <v>110053</v>
          </cell>
        </row>
        <row r="20">
          <cell r="D20">
            <v>7064613.6412765672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merce.wa.gov/EI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merce.wa.gov/EIA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EIA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ommerce.wa.gov/EIA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zoomScaleNormal="100" workbookViewId="0">
      <selection activeCell="B30" sqref="B30"/>
    </sheetView>
  </sheetViews>
  <sheetFormatPr defaultRowHeight="15" x14ac:dyDescent="0.25"/>
  <cols>
    <col min="1" max="1" width="19.85546875" customWidth="1"/>
    <col min="2" max="2" width="13.28515625" customWidth="1"/>
    <col min="3" max="3" width="13.5703125" customWidth="1"/>
    <col min="4" max="4" width="12.85546875" customWidth="1"/>
    <col min="5" max="5" width="14.28515625" customWidth="1"/>
    <col min="6" max="6" width="16.140625" customWidth="1"/>
  </cols>
  <sheetData>
    <row r="1" spans="1:13" ht="18.75" x14ac:dyDescent="0.3">
      <c r="A1" s="37" t="s">
        <v>219</v>
      </c>
      <c r="B1" s="38"/>
      <c r="C1" s="38"/>
      <c r="D1" s="38"/>
      <c r="E1" s="38"/>
      <c r="F1" s="39"/>
    </row>
    <row r="2" spans="1:13" ht="60" x14ac:dyDescent="0.25">
      <c r="A2" s="40" t="s">
        <v>0</v>
      </c>
      <c r="B2" s="36" t="s">
        <v>241</v>
      </c>
      <c r="C2" s="36" t="s">
        <v>240</v>
      </c>
      <c r="D2" s="36" t="s">
        <v>239</v>
      </c>
      <c r="E2" s="36" t="s">
        <v>239</v>
      </c>
      <c r="F2" s="29" t="s">
        <v>238</v>
      </c>
      <c r="H2" s="29"/>
      <c r="I2" s="29"/>
    </row>
    <row r="3" spans="1:13" ht="30" x14ac:dyDescent="0.25">
      <c r="A3" s="41"/>
      <c r="B3" s="5" t="s">
        <v>235</v>
      </c>
      <c r="C3" s="5" t="s">
        <v>235</v>
      </c>
      <c r="D3" s="5" t="s">
        <v>235</v>
      </c>
      <c r="E3" s="5" t="s">
        <v>236</v>
      </c>
      <c r="F3" s="13" t="s">
        <v>237</v>
      </c>
      <c r="H3" s="29"/>
      <c r="I3" s="29"/>
    </row>
    <row r="4" spans="1:13" x14ac:dyDescent="0.25">
      <c r="A4" s="17" t="s">
        <v>1</v>
      </c>
      <c r="B4" s="2">
        <f>AVERAGE('2017 Reported Data'!BR2,'2017 Reported Data'!BS2)</f>
        <v>5600551</v>
      </c>
      <c r="C4" s="2">
        <f>ROUND(B4*0.09,0)</f>
        <v>504050</v>
      </c>
      <c r="D4" s="2">
        <f>'2017 Reported Data'!CG2</f>
        <v>857698</v>
      </c>
      <c r="E4" s="4">
        <f>D4/B4</f>
        <v>0.15314528874034</v>
      </c>
      <c r="F4" s="4">
        <f>'2017 Reported Data'!BQ2</f>
        <v>-1.5109951481589601E-3</v>
      </c>
      <c r="J4" s="28"/>
      <c r="M4" s="3"/>
    </row>
    <row r="5" spans="1:13" x14ac:dyDescent="0.25">
      <c r="A5" s="17" t="s">
        <v>2</v>
      </c>
      <c r="B5" s="2">
        <f>AVERAGE('2017 Reported Data'!BR3,'2017 Reported Data'!BS3)</f>
        <v>1716049.4384999997</v>
      </c>
      <c r="C5" s="2">
        <f t="shared" ref="C5:C20" si="0">ROUND(B5*0.09,0)</f>
        <v>154444</v>
      </c>
      <c r="D5" s="2">
        <f>'2017 Reported Data'!CG3</f>
        <v>154444</v>
      </c>
      <c r="E5" s="4">
        <f t="shared" ref="E5:E21" si="1">D5/B5</f>
        <v>8.9999738081555286E-2</v>
      </c>
      <c r="F5" s="4">
        <f>'2017 Reported Data'!BQ3</f>
        <v>2.5032450862467019E-2</v>
      </c>
      <c r="J5" s="28"/>
      <c r="M5" s="3"/>
    </row>
    <row r="6" spans="1:13" x14ac:dyDescent="0.25">
      <c r="A6" s="17" t="s">
        <v>3</v>
      </c>
      <c r="B6" s="2">
        <f>AVERAGE('2017 Reported Data'!BR4,'2017 Reported Data'!BS4)</f>
        <v>1561620.5</v>
      </c>
      <c r="C6" s="2">
        <f t="shared" si="0"/>
        <v>140546</v>
      </c>
      <c r="D6" s="2">
        <f>'2017 Reported Data'!CG4</f>
        <v>140546</v>
      </c>
      <c r="E6" s="4">
        <f t="shared" si="1"/>
        <v>9.0000099255869145E-2</v>
      </c>
      <c r="F6" s="4">
        <f>'2017 Reported Data'!BQ4</f>
        <v>3.1521167151571969E-3</v>
      </c>
      <c r="J6" s="28"/>
      <c r="M6" s="3"/>
    </row>
    <row r="7" spans="1:13" x14ac:dyDescent="0.25">
      <c r="A7" s="17" t="s">
        <v>4</v>
      </c>
      <c r="B7" s="2">
        <f>AVERAGE('2017 Reported Data'!BR5,'2017 Reported Data'!BS5)</f>
        <v>594872.21200000006</v>
      </c>
      <c r="C7" s="2">
        <f t="shared" si="0"/>
        <v>53538</v>
      </c>
      <c r="D7" s="2">
        <f>'2017 Reported Data'!CG5</f>
        <v>53539</v>
      </c>
      <c r="E7" s="4">
        <f t="shared" si="1"/>
        <v>9.0000842063202635E-2</v>
      </c>
      <c r="F7" s="4">
        <f>'2017 Reported Data'!BQ5</f>
        <v>6.188666666666667E-3</v>
      </c>
      <c r="J7" s="28"/>
      <c r="M7" s="3"/>
    </row>
    <row r="8" spans="1:13" x14ac:dyDescent="0.25">
      <c r="A8" s="17" t="s">
        <v>48</v>
      </c>
      <c r="B8" s="2">
        <f>AVERAGE('2017 Reported Data'!BR6,'2017 Reported Data'!BS6)</f>
        <v>4319273.7909999993</v>
      </c>
      <c r="C8" s="2">
        <f t="shared" si="0"/>
        <v>388735</v>
      </c>
      <c r="D8" s="2">
        <f>'2017 Reported Data'!CG6</f>
        <v>175300</v>
      </c>
      <c r="E8" s="4">
        <f t="shared" si="1"/>
        <v>4.0585526290384685E-2</v>
      </c>
      <c r="F8" s="4">
        <f>'2017 Reported Data'!BQ6</f>
        <v>3.9999962635342216E-2</v>
      </c>
      <c r="J8" s="28"/>
      <c r="M8" s="3"/>
    </row>
    <row r="9" spans="1:13" x14ac:dyDescent="0.25">
      <c r="A9" s="17" t="s">
        <v>5</v>
      </c>
      <c r="B9" s="2">
        <f>AVERAGE('2017 Reported Data'!BR7,'2017 Reported Data'!BS7)</f>
        <v>5026104.0710000005</v>
      </c>
      <c r="C9" s="2">
        <f t="shared" si="0"/>
        <v>452349</v>
      </c>
      <c r="D9" s="2">
        <f>'2017 Reported Data'!CG7</f>
        <v>452350.2</v>
      </c>
      <c r="E9" s="4">
        <f t="shared" si="1"/>
        <v>9.0000165856096132E-2</v>
      </c>
      <c r="F9" s="4">
        <f>'2017 Reported Data'!BQ7</f>
        <v>4.592305936527185E-2</v>
      </c>
      <c r="J9" s="28"/>
      <c r="M9" s="3"/>
    </row>
    <row r="10" spans="1:13" x14ac:dyDescent="0.25">
      <c r="A10" s="17" t="s">
        <v>6</v>
      </c>
      <c r="B10" s="2">
        <f>AVERAGE('2017 Reported Data'!BR8,'2017 Reported Data'!BS8)</f>
        <v>4447488.8447200004</v>
      </c>
      <c r="C10" s="2">
        <f t="shared" si="0"/>
        <v>400274</v>
      </c>
      <c r="D10" s="2">
        <f>'2017 Reported Data'!CG8</f>
        <v>868598</v>
      </c>
      <c r="E10" s="4">
        <f t="shared" si="1"/>
        <v>0.19530077091282375</v>
      </c>
      <c r="F10" s="4">
        <f>'2017 Reported Data'!BQ8</f>
        <v>1.6410016800564289E-3</v>
      </c>
      <c r="J10" s="28"/>
      <c r="M10" s="3"/>
    </row>
    <row r="11" spans="1:13" x14ac:dyDescent="0.25">
      <c r="A11" s="17" t="s">
        <v>7</v>
      </c>
      <c r="B11" s="2">
        <f>AVERAGE('2017 Reported Data'!BR9,'2017 Reported Data'!BS9)</f>
        <v>891925</v>
      </c>
      <c r="C11" s="2">
        <f t="shared" si="0"/>
        <v>80273</v>
      </c>
      <c r="D11" s="2">
        <f>'2017 Reported Data'!CG9</f>
        <v>96360</v>
      </c>
      <c r="E11" s="4">
        <f t="shared" si="1"/>
        <v>0.10803598957311433</v>
      </c>
      <c r="F11" s="4">
        <f>'2017 Reported Data'!BQ9</f>
        <v>1.6863567987093679E-3</v>
      </c>
      <c r="J11" s="28"/>
      <c r="M11" s="3"/>
    </row>
    <row r="12" spans="1:13" x14ac:dyDescent="0.25">
      <c r="A12" s="17" t="s">
        <v>8</v>
      </c>
      <c r="B12" s="2">
        <f>AVERAGE('2017 Reported Data'!BR10,'2017 Reported Data'!BS10)</f>
        <v>839675</v>
      </c>
      <c r="C12" s="2">
        <f t="shared" si="0"/>
        <v>75571</v>
      </c>
      <c r="D12" s="2">
        <f>'2017 Reported Data'!CG10</f>
        <v>75571</v>
      </c>
      <c r="E12" s="4">
        <f t="shared" si="1"/>
        <v>9.000029773424241E-2</v>
      </c>
      <c r="F12" s="4">
        <f>'2017 Reported Data'!BQ10</f>
        <v>1.1044522475088263E-2</v>
      </c>
      <c r="J12" s="28"/>
      <c r="M12" s="3"/>
    </row>
    <row r="13" spans="1:13" x14ac:dyDescent="0.25">
      <c r="A13" s="17" t="s">
        <v>9</v>
      </c>
      <c r="B13" s="2">
        <f>AVERAGE('2017 Reported Data'!BR11,'2017 Reported Data'!BS11)</f>
        <v>893454</v>
      </c>
      <c r="C13" s="2">
        <f t="shared" si="0"/>
        <v>80411</v>
      </c>
      <c r="D13" s="2">
        <f>'2017 Reported Data'!CG11</f>
        <v>80411</v>
      </c>
      <c r="E13" s="4">
        <f t="shared" si="1"/>
        <v>9.0000156695252354E-2</v>
      </c>
      <c r="F13" s="4">
        <f>'2017 Reported Data'!BQ11</f>
        <v>1.4535817391909492E-2</v>
      </c>
      <c r="J13" s="28"/>
      <c r="M13" s="3"/>
    </row>
    <row r="14" spans="1:13" x14ac:dyDescent="0.25">
      <c r="A14" s="17" t="s">
        <v>10</v>
      </c>
      <c r="B14" s="2">
        <f>AVERAGE('2017 Reported Data'!BR12,'2017 Reported Data'!BS12)</f>
        <v>604313.80000000005</v>
      </c>
      <c r="C14" s="2">
        <f t="shared" si="0"/>
        <v>54388</v>
      </c>
      <c r="D14" s="2">
        <f>'2017 Reported Data'!CG12</f>
        <v>54388</v>
      </c>
      <c r="E14" s="4">
        <f t="shared" si="1"/>
        <v>8.9999599545798878E-2</v>
      </c>
      <c r="F14" s="4">
        <f>'2017 Reported Data'!BQ12</f>
        <v>2.6327131060189295E-2</v>
      </c>
      <c r="J14" s="28"/>
      <c r="M14" s="3"/>
    </row>
    <row r="15" spans="1:13" x14ac:dyDescent="0.25">
      <c r="A15" s="17" t="s">
        <v>15</v>
      </c>
      <c r="B15" s="2">
        <f>AVERAGE('2017 Reported Data'!BR13,'2017 Reported Data'!BS13)</f>
        <v>4044961.9639999997</v>
      </c>
      <c r="C15" s="2">
        <f t="shared" si="0"/>
        <v>364047</v>
      </c>
      <c r="D15" s="2">
        <f>'2017 Reported Data'!CG13</f>
        <v>364047</v>
      </c>
      <c r="E15" s="4">
        <f t="shared" si="1"/>
        <v>9.0000104633864E-2</v>
      </c>
      <c r="F15" s="4">
        <f>'2017 Reported Data'!BQ13</f>
        <v>6.0044145890336105E-3</v>
      </c>
      <c r="J15" s="28"/>
      <c r="M15" s="3"/>
    </row>
    <row r="16" spans="1:13" x14ac:dyDescent="0.25">
      <c r="A16" s="17" t="s">
        <v>11</v>
      </c>
      <c r="B16" s="2">
        <f>AVERAGE('2017 Reported Data'!BR14,'2017 Reported Data'!BS14)</f>
        <v>559171</v>
      </c>
      <c r="C16" s="2">
        <f t="shared" si="0"/>
        <v>50325</v>
      </c>
      <c r="D16" s="2">
        <f>'2017 Reported Data'!CG14</f>
        <v>50325.599999999999</v>
      </c>
      <c r="E16" s="4">
        <f t="shared" si="1"/>
        <v>9.0000375555956941E-2</v>
      </c>
      <c r="F16" s="4">
        <f>'2017 Reported Data'!BQ14</f>
        <v>3.9517340115404354E-3</v>
      </c>
      <c r="J16" s="28"/>
      <c r="M16" s="3"/>
    </row>
    <row r="17" spans="1:13" x14ac:dyDescent="0.25">
      <c r="A17" s="17" t="s">
        <v>14</v>
      </c>
      <c r="B17" s="2">
        <f>AVERAGE('2017 Reported Data'!BR15,'2017 Reported Data'!BS15)</f>
        <v>20479093.5</v>
      </c>
      <c r="C17" s="2">
        <f t="shared" si="0"/>
        <v>1843118</v>
      </c>
      <c r="D17" s="2">
        <f>'2017 Reported Data'!CG15</f>
        <v>1919761.5580000002</v>
      </c>
      <c r="E17" s="4">
        <f>D17/B17</f>
        <v>9.3742506620227123E-2</v>
      </c>
      <c r="F17" s="4">
        <f>'2017 Reported Data'!BQ15</f>
        <v>1.3879980232173079E-2</v>
      </c>
      <c r="J17" s="28"/>
      <c r="M17" s="3"/>
    </row>
    <row r="18" spans="1:13" x14ac:dyDescent="0.25">
      <c r="A18" s="17" t="s">
        <v>12</v>
      </c>
      <c r="B18" s="2">
        <f>AVERAGE('2017 Reported Data'!BR16,'2017 Reported Data'!BS16)</f>
        <v>9168966</v>
      </c>
      <c r="C18" s="2">
        <f t="shared" si="0"/>
        <v>825207</v>
      </c>
      <c r="D18" s="2">
        <f>'2017 Reported Data'!CG16</f>
        <v>825208</v>
      </c>
      <c r="E18" s="4">
        <f t="shared" si="1"/>
        <v>9.0000115607365108E-2</v>
      </c>
      <c r="F18" s="4">
        <f>'2017 Reported Data'!BQ16</f>
        <v>3.4871398226201632E-2</v>
      </c>
      <c r="J18" s="28"/>
      <c r="M18" s="3"/>
    </row>
    <row r="19" spans="1:13" x14ac:dyDescent="0.25">
      <c r="A19" s="17" t="s">
        <v>13</v>
      </c>
      <c r="B19" s="2">
        <f>AVERAGE('2017 Reported Data'!BR17,'2017 Reported Data'!BS17)</f>
        <v>6380363.5</v>
      </c>
      <c r="C19" s="2">
        <f t="shared" si="0"/>
        <v>574233</v>
      </c>
      <c r="D19" s="2">
        <f>'2017 Reported Data'!CG17</f>
        <v>1051344</v>
      </c>
      <c r="E19" s="4">
        <f t="shared" si="1"/>
        <v>0.16477807259727442</v>
      </c>
      <c r="F19" s="4">
        <f>'2017 Reported Data'!BQ17</f>
        <v>5.3234588485055946E-2</v>
      </c>
      <c r="J19" s="28"/>
      <c r="M19" s="3"/>
    </row>
    <row r="20" spans="1:13" x14ac:dyDescent="0.25">
      <c r="A20" s="18" t="s">
        <v>62</v>
      </c>
      <c r="B20" s="6">
        <f>AVERAGE('2017 Reported Data'!BR18,'2017 Reported Data'!BS18)</f>
        <v>4607487.5</v>
      </c>
      <c r="C20" s="6">
        <f t="shared" si="0"/>
        <v>414674</v>
      </c>
      <c r="D20" s="6">
        <f>'2017 Reported Data'!CG18</f>
        <v>414673.6</v>
      </c>
      <c r="E20" s="7">
        <f t="shared" si="1"/>
        <v>8.9999940314542351E-2</v>
      </c>
      <c r="F20" s="7">
        <f>'2017 Reported Data'!BQ18</f>
        <v>7.3020548828750158E-3</v>
      </c>
      <c r="J20" s="28"/>
      <c r="M20" s="3"/>
    </row>
    <row r="21" spans="1:13" x14ac:dyDescent="0.25">
      <c r="A21" s="19" t="s">
        <v>63</v>
      </c>
      <c r="B21" s="15">
        <f>SUM(B4:B20)</f>
        <v>71735371.121219993</v>
      </c>
      <c r="C21" s="15">
        <f>SUM(C4:C20)</f>
        <v>6456183</v>
      </c>
      <c r="D21" s="15">
        <f>SUM(D4:D20)</f>
        <v>7634564.9580000006</v>
      </c>
      <c r="E21" s="4">
        <f t="shared" si="1"/>
        <v>0.10642678554069158</v>
      </c>
      <c r="F21" s="4">
        <f>'2017 Reported Data'!BQ19</f>
        <v>2.1324427392800806E-2</v>
      </c>
      <c r="I21" s="15"/>
      <c r="J21" s="28"/>
      <c r="M21" s="3"/>
    </row>
    <row r="22" spans="1:13" x14ac:dyDescent="0.25">
      <c r="A22" s="14"/>
      <c r="B22" s="14"/>
      <c r="C22" s="14"/>
      <c r="D22" s="14"/>
    </row>
    <row r="23" spans="1:13" x14ac:dyDescent="0.25">
      <c r="A23" s="21" t="s">
        <v>131</v>
      </c>
      <c r="B23" s="14"/>
      <c r="C23" s="14"/>
      <c r="D23" s="14"/>
    </row>
    <row r="24" spans="1:13" x14ac:dyDescent="0.25">
      <c r="A24" s="20" t="s">
        <v>220</v>
      </c>
    </row>
    <row r="26" spans="1:13" x14ac:dyDescent="0.25">
      <c r="A26" t="s">
        <v>221</v>
      </c>
    </row>
    <row r="27" spans="1:13" x14ac:dyDescent="0.25">
      <c r="A27" s="22" t="s">
        <v>89</v>
      </c>
    </row>
    <row r="28" spans="1:13" x14ac:dyDescent="0.25">
      <c r="A28" t="s">
        <v>242</v>
      </c>
    </row>
    <row r="43" spans="1:5" x14ac:dyDescent="0.25">
      <c r="A43" s="1"/>
      <c r="B43" s="15"/>
      <c r="C43" s="15"/>
      <c r="D43" s="15"/>
      <c r="E43" s="8"/>
    </row>
    <row r="44" spans="1:5" x14ac:dyDescent="0.25">
      <c r="A44" s="1"/>
      <c r="B44" s="15"/>
      <c r="C44" s="15"/>
      <c r="D44" s="15"/>
      <c r="E44" s="8"/>
    </row>
    <row r="45" spans="1:5" x14ac:dyDescent="0.25">
      <c r="A45" s="14"/>
      <c r="B45" s="14"/>
      <c r="C45" s="14"/>
      <c r="D45" s="15"/>
    </row>
    <row r="46" spans="1:5" x14ac:dyDescent="0.25">
      <c r="A46" s="14"/>
      <c r="B46" s="14"/>
      <c r="C46" s="14"/>
      <c r="D46" s="15"/>
    </row>
    <row r="67" ht="30.75" customHeight="1" x14ac:dyDescent="0.25"/>
  </sheetData>
  <mergeCells count="2">
    <mergeCell ref="A1:F1"/>
    <mergeCell ref="A2:A3"/>
  </mergeCells>
  <conditionalFormatting sqref="E4:E2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{3AD8CA1B-7232-4359-B392-C92571C1F2DC}</x14:id>
        </ext>
      </extLst>
    </cfRule>
  </conditionalFormatting>
  <conditionalFormatting sqref="F4:F2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{B2269B67-2C35-43FB-86B4-EAA674D58A1A}</x14:id>
        </ext>
      </extLst>
    </cfRule>
  </conditionalFormatting>
  <hyperlinks>
    <hyperlink ref="A27" r:id="rId1"/>
  </hyperlinks>
  <pageMargins left="0.7" right="0.7" top="0.75" bottom="0.75" header="0.3" footer="0.3"/>
  <pageSetup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AD8CA1B-7232-4359-B392-C92571C1F2D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E4:E21</xm:sqref>
        </x14:conditionalFormatting>
        <x14:conditionalFormatting xmlns:xm="http://schemas.microsoft.com/office/excel/2006/main">
          <x14:cfRule type="dataBar" id="{B2269B67-2C35-43FB-86B4-EAA674D58A1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F4:F21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zoomScaleNormal="100" workbookViewId="0">
      <selection activeCell="A29" sqref="A29"/>
    </sheetView>
  </sheetViews>
  <sheetFormatPr defaultRowHeight="15" x14ac:dyDescent="0.25"/>
  <cols>
    <col min="1" max="1" width="31.85546875" customWidth="1"/>
    <col min="2" max="2" width="13.28515625" customWidth="1"/>
    <col min="3" max="3" width="14.140625" customWidth="1"/>
    <col min="4" max="4" width="12.42578125" customWidth="1"/>
    <col min="5" max="5" width="10.5703125" customWidth="1"/>
    <col min="6" max="6" width="13.5703125" customWidth="1"/>
    <col min="7" max="7" width="14.28515625" hidden="1" customWidth="1"/>
    <col min="8" max="8" width="12.42578125" customWidth="1"/>
    <col min="9" max="9" width="14.42578125" customWidth="1"/>
    <col min="10" max="10" width="14.140625" customWidth="1"/>
    <col min="11" max="11" width="3.140625" customWidth="1"/>
    <col min="12" max="12" width="19" customWidth="1"/>
    <col min="13" max="13" width="11.42578125" customWidth="1"/>
    <col min="14" max="14" width="11.85546875" customWidth="1"/>
    <col min="15" max="15" width="10.5703125" customWidth="1"/>
    <col min="16" max="16" width="12.42578125" customWidth="1"/>
    <col min="18" max="18" width="11.5703125" customWidth="1"/>
  </cols>
  <sheetData>
    <row r="1" spans="1:7" ht="18.75" x14ac:dyDescent="0.3">
      <c r="A1" s="37" t="s">
        <v>228</v>
      </c>
      <c r="B1" s="38"/>
      <c r="C1" s="38"/>
      <c r="D1" s="38"/>
      <c r="E1" s="38"/>
      <c r="F1" s="39"/>
    </row>
    <row r="2" spans="1:7" ht="45" x14ac:dyDescent="0.25">
      <c r="A2" s="12" t="s">
        <v>70</v>
      </c>
      <c r="B2" s="5" t="s">
        <v>80</v>
      </c>
      <c r="C2" s="5" t="s">
        <v>229</v>
      </c>
      <c r="D2" s="5" t="s">
        <v>63</v>
      </c>
      <c r="E2" s="5" t="s">
        <v>234</v>
      </c>
      <c r="F2" s="25" t="s">
        <v>233</v>
      </c>
      <c r="G2" s="29" t="s">
        <v>232</v>
      </c>
    </row>
    <row r="3" spans="1:7" x14ac:dyDescent="0.25">
      <c r="A3" s="14" t="s">
        <v>64</v>
      </c>
      <c r="B3" s="30">
        <f>SUM('2017 Reported Data'!BM2:BM18)</f>
        <v>1389483.9580000001</v>
      </c>
      <c r="C3" s="31" t="s">
        <v>76</v>
      </c>
      <c r="D3" s="2">
        <f>B3</f>
        <v>1389483.9580000001</v>
      </c>
      <c r="E3" s="4">
        <f t="shared" ref="E3:E12" si="0">D3/$D$20</f>
        <v>0.18199910088445934</v>
      </c>
      <c r="F3" s="4">
        <f t="shared" ref="F3:F13" si="1">IF(G3=0,"",D3/G3-1)</f>
        <v>0.59097269495222449</v>
      </c>
      <c r="G3" s="2">
        <f>'[2]Renewable by Type'!D3</f>
        <v>873355</v>
      </c>
    </row>
    <row r="4" spans="1:7" x14ac:dyDescent="0.25">
      <c r="A4" s="14" t="s">
        <v>65</v>
      </c>
      <c r="B4" s="30">
        <f>SUM('2017 Reported Data'!BN2:BN18)</f>
        <v>1053059</v>
      </c>
      <c r="C4" s="30">
        <f>SUM('2017 Reported Data'!CC2:CC18)</f>
        <v>3789374</v>
      </c>
      <c r="D4" s="2">
        <f t="shared" ref="D4:D12" si="2">B4+C4</f>
        <v>4842433</v>
      </c>
      <c r="E4" s="4">
        <f t="shared" si="0"/>
        <v>0.63427752945186211</v>
      </c>
      <c r="F4" s="4">
        <f t="shared" si="1"/>
        <v>-3.5105401788377733E-2</v>
      </c>
      <c r="G4" s="2">
        <f>'[2]Renewable by Type'!D4</f>
        <v>5018613.4412765671</v>
      </c>
    </row>
    <row r="5" spans="1:7" x14ac:dyDescent="0.25">
      <c r="A5" s="14" t="s">
        <v>66</v>
      </c>
      <c r="B5" s="30">
        <f>SUM('2017 Reported Data'!BL2:BL18)</f>
        <v>0</v>
      </c>
      <c r="C5" s="30">
        <f>SUM('2017 Reported Data'!CB2:CB18)</f>
        <v>50256</v>
      </c>
      <c r="D5" s="2">
        <f t="shared" si="2"/>
        <v>50256</v>
      </c>
      <c r="E5" s="4">
        <f t="shared" si="0"/>
        <v>6.5826933527284286E-3</v>
      </c>
      <c r="F5" s="4">
        <f t="shared" si="1"/>
        <v>5.1437652811735939</v>
      </c>
      <c r="G5" s="2">
        <f>'[2]Renewable by Type'!D5</f>
        <v>8180</v>
      </c>
    </row>
    <row r="6" spans="1:7" x14ac:dyDescent="0.25">
      <c r="A6" s="14" t="s">
        <v>67</v>
      </c>
      <c r="B6" s="30">
        <f>SUM('2017 Reported Data'!BH2:BH18)</f>
        <v>0</v>
      </c>
      <c r="C6" s="30">
        <f>SUM('2017 Reported Data'!BX2:BX18)</f>
        <v>75000</v>
      </c>
      <c r="D6" s="2">
        <f t="shared" si="2"/>
        <v>75000</v>
      </c>
      <c r="E6" s="4">
        <f t="shared" si="0"/>
        <v>9.8237424676582332E-3</v>
      </c>
      <c r="F6" s="4">
        <f t="shared" si="1"/>
        <v>-4.737449739241173E-3</v>
      </c>
      <c r="G6" s="2">
        <f>'[2]Renewable by Type'!D6</f>
        <v>75357</v>
      </c>
    </row>
    <row r="7" spans="1:7" x14ac:dyDescent="0.25">
      <c r="A7" s="14" t="s">
        <v>68</v>
      </c>
      <c r="B7" s="30">
        <f>SUM('2017 Reported Data'!BI2:BI18)</f>
        <v>0</v>
      </c>
      <c r="C7" s="30">
        <f>SUM('2017 Reported Data'!BY2:BY18)</f>
        <v>125650</v>
      </c>
      <c r="D7" s="2">
        <f t="shared" si="2"/>
        <v>125650</v>
      </c>
      <c r="E7" s="4">
        <f t="shared" si="0"/>
        <v>1.6458043214150092E-2</v>
      </c>
      <c r="F7" s="4">
        <f t="shared" si="1"/>
        <v>3.4880368982415755E-2</v>
      </c>
      <c r="G7" s="2">
        <f>'[2]Renewable by Type'!D7</f>
        <v>121415</v>
      </c>
    </row>
    <row r="8" spans="1:7" x14ac:dyDescent="0.25">
      <c r="A8" s="14" t="s">
        <v>78</v>
      </c>
      <c r="B8" s="2">
        <f>SUM('2017 Reported Data'!BO2:BO18)</f>
        <v>0</v>
      </c>
      <c r="C8" s="2">
        <f>SUM('2017 Reported Data'!CD2:CD18)</f>
        <v>0</v>
      </c>
      <c r="D8" s="2">
        <f t="shared" si="2"/>
        <v>0</v>
      </c>
      <c r="E8" s="4">
        <f t="shared" si="0"/>
        <v>0</v>
      </c>
      <c r="F8" s="4" t="str">
        <f t="shared" si="1"/>
        <v/>
      </c>
      <c r="G8" s="2">
        <f>'[2]Renewable by Type'!D8</f>
        <v>0</v>
      </c>
    </row>
    <row r="9" spans="1:7" x14ac:dyDescent="0.25">
      <c r="A9" s="14" t="s">
        <v>79</v>
      </c>
      <c r="B9" s="2">
        <f>SUM('2017 Reported Data'!BK2:BK18)</f>
        <v>0</v>
      </c>
      <c r="C9" s="2">
        <f>SUM('2017 Reported Data'!CA2:CA18)</f>
        <v>32186</v>
      </c>
      <c r="D9" s="2">
        <f t="shared" si="2"/>
        <v>32186</v>
      </c>
      <c r="E9" s="4">
        <f t="shared" si="0"/>
        <v>4.2158263341873052E-3</v>
      </c>
      <c r="F9" s="4">
        <f t="shared" si="1"/>
        <v>0.83919999999999995</v>
      </c>
      <c r="G9" s="2">
        <f>'[2]Renewable by Type'!D9</f>
        <v>17500</v>
      </c>
    </row>
    <row r="10" spans="1:7" x14ac:dyDescent="0.25">
      <c r="A10" s="14" t="s">
        <v>77</v>
      </c>
      <c r="B10" s="2">
        <f>SUM('2017 Reported Data'!BF2:BF18)</f>
        <v>0</v>
      </c>
      <c r="C10" s="2">
        <f>SUM('2017 Reported Data'!BU2:BU18)</f>
        <v>0</v>
      </c>
      <c r="D10" s="2">
        <f t="shared" si="2"/>
        <v>0</v>
      </c>
      <c r="E10" s="4">
        <f t="shared" si="0"/>
        <v>0</v>
      </c>
      <c r="F10" s="4" t="str">
        <f t="shared" si="1"/>
        <v/>
      </c>
      <c r="G10" s="2">
        <f>'[2]Renewable by Type'!D10</f>
        <v>0</v>
      </c>
    </row>
    <row r="11" spans="1:7" x14ac:dyDescent="0.25">
      <c r="A11" s="14" t="s">
        <v>69</v>
      </c>
      <c r="B11" s="2">
        <f>SUM('2017 Reported Data'!BG2:BG18)</f>
        <v>96360</v>
      </c>
      <c r="C11" s="2">
        <f>SUM('2017 Reported Data'!BV2:BV18)</f>
        <v>101796</v>
      </c>
      <c r="D11" s="2">
        <f t="shared" si="2"/>
        <v>198156</v>
      </c>
      <c r="E11" s="4">
        <f t="shared" si="0"/>
        <v>2.5955113498950463E-2</v>
      </c>
      <c r="F11" s="4">
        <f t="shared" si="1"/>
        <v>-0.3664745206740776</v>
      </c>
      <c r="G11" s="2">
        <f>'[2]Renewable by Type'!D11</f>
        <v>312783</v>
      </c>
    </row>
    <row r="12" spans="1:7" x14ac:dyDescent="0.25">
      <c r="A12" s="14" t="s">
        <v>130</v>
      </c>
      <c r="B12" s="6">
        <f>SUM('2017 Reported Data'!BJ2:BJ18)</f>
        <v>287143</v>
      </c>
      <c r="C12" s="6">
        <f>SUM('2017 Reported Data'!BZ2:BZ18)</f>
        <v>188324</v>
      </c>
      <c r="D12" s="6">
        <f t="shared" si="2"/>
        <v>475467</v>
      </c>
      <c r="E12" s="4">
        <f t="shared" si="0"/>
        <v>6.2278204798267428E-2</v>
      </c>
      <c r="F12" s="7">
        <f t="shared" si="1"/>
        <v>0.64538533411772847</v>
      </c>
      <c r="G12" s="2">
        <f>'[2]Renewable by Type'!D12</f>
        <v>288970</v>
      </c>
    </row>
    <row r="13" spans="1:7" x14ac:dyDescent="0.25">
      <c r="A13" s="1" t="s">
        <v>81</v>
      </c>
      <c r="B13" s="2">
        <f>SUM(B3:B12)</f>
        <v>2826045.9580000001</v>
      </c>
      <c r="C13" s="2">
        <f>SUM(C3:C12)</f>
        <v>4362586</v>
      </c>
      <c r="D13" s="2">
        <f>SUM(D3:D12)</f>
        <v>7188631.9580000006</v>
      </c>
      <c r="E13" s="33"/>
      <c r="F13" s="4">
        <f t="shared" si="1"/>
        <v>7.03463841210199E-2</v>
      </c>
      <c r="G13" s="2">
        <f>SUM(G3:G12)</f>
        <v>6716173.4412765671</v>
      </c>
    </row>
    <row r="14" spans="1:7" x14ac:dyDescent="0.25">
      <c r="A14" s="14"/>
      <c r="B14" s="2"/>
      <c r="C14" s="2"/>
      <c r="D14" s="2"/>
      <c r="E14" s="33"/>
      <c r="F14" s="4"/>
    </row>
    <row r="15" spans="1:7" x14ac:dyDescent="0.25">
      <c r="A15" s="14" t="s">
        <v>71</v>
      </c>
      <c r="B15" s="14"/>
      <c r="C15" s="14"/>
      <c r="D15" s="14"/>
      <c r="E15" s="33"/>
      <c r="F15" s="4"/>
    </row>
    <row r="16" spans="1:7" x14ac:dyDescent="0.25">
      <c r="A16" s="14" t="s">
        <v>72</v>
      </c>
      <c r="B16" s="2">
        <f>SUM('2017 Reported Data'!BE2:BE18)</f>
        <v>74391.600000000006</v>
      </c>
      <c r="C16" s="2">
        <f>SUM('2017 Reported Data'!BT2:BT18)</f>
        <v>259092.40000000002</v>
      </c>
      <c r="D16" s="2">
        <f>B16+C16</f>
        <v>333484</v>
      </c>
      <c r="E16" s="4">
        <f>D16/$D$20</f>
        <v>4.3680812441127176E-2</v>
      </c>
      <c r="F16" s="4">
        <f>IF(G16=0,"",D16/G16-1)</f>
        <v>0.39891739153780059</v>
      </c>
      <c r="G16" s="2">
        <f>'[2]Renewable by Type'!D16</f>
        <v>238387.20000000001</v>
      </c>
    </row>
    <row r="17" spans="1:7" ht="17.25" x14ac:dyDescent="0.4">
      <c r="A17" s="14" t="s">
        <v>73</v>
      </c>
      <c r="B17" s="9" t="s">
        <v>76</v>
      </c>
      <c r="C17" s="10">
        <f>SUM('2017 Reported Data'!BW2:BW18)</f>
        <v>112449</v>
      </c>
      <c r="D17" s="10">
        <f>C17</f>
        <v>112449</v>
      </c>
      <c r="E17" s="4">
        <f>D17/$D$20</f>
        <v>1.4728933556609342E-2</v>
      </c>
      <c r="F17" s="4">
        <f>IF(G17=0,"",D17/G17-1)</f>
        <v>2.1771328359972086E-2</v>
      </c>
      <c r="G17" s="2">
        <f>'[2]Renewable by Type'!D17</f>
        <v>110053</v>
      </c>
    </row>
    <row r="18" spans="1:7" x14ac:dyDescent="0.25">
      <c r="A18" s="1" t="s">
        <v>74</v>
      </c>
      <c r="B18" s="2">
        <f>B16</f>
        <v>74391.600000000006</v>
      </c>
      <c r="C18" s="2">
        <f>SUM(C16:C17)</f>
        <v>371541.4</v>
      </c>
      <c r="D18" s="2">
        <f>SUM(D16:D17)</f>
        <v>445933</v>
      </c>
      <c r="F18" s="4"/>
    </row>
    <row r="19" spans="1:7" x14ac:dyDescent="0.25">
      <c r="A19" s="16"/>
      <c r="B19" s="16"/>
      <c r="C19" s="16"/>
      <c r="D19" s="16"/>
      <c r="E19" s="11"/>
      <c r="F19" s="7"/>
    </row>
    <row r="20" spans="1:7" x14ac:dyDescent="0.25">
      <c r="A20" s="1" t="s">
        <v>75</v>
      </c>
      <c r="B20" s="15">
        <f>B13+B18</f>
        <v>2900437.5580000002</v>
      </c>
      <c r="C20" s="15">
        <f>C13+C18</f>
        <v>4734127.4000000004</v>
      </c>
      <c r="D20" s="15">
        <f>D13+D18</f>
        <v>7634564.9580000006</v>
      </c>
      <c r="E20" s="8">
        <f>SUM(E3:E17)</f>
        <v>0.99999999999999989</v>
      </c>
      <c r="F20" s="4">
        <f>IF(G20=0,"",D20/G20-1)</f>
        <v>8.06769266748526E-2</v>
      </c>
      <c r="G20" s="2">
        <f>'[2]Renewable by Type'!D20</f>
        <v>7064613.6412765672</v>
      </c>
    </row>
    <row r="22" spans="1:7" x14ac:dyDescent="0.25">
      <c r="A22" s="14" t="s">
        <v>231</v>
      </c>
    </row>
    <row r="23" spans="1:7" x14ac:dyDescent="0.25">
      <c r="A23" s="14" t="s">
        <v>230</v>
      </c>
    </row>
    <row r="24" spans="1:7" x14ac:dyDescent="0.25">
      <c r="A24" s="42" t="s">
        <v>222</v>
      </c>
      <c r="B24" s="42"/>
      <c r="C24" s="42"/>
      <c r="D24" s="42"/>
      <c r="E24" s="42"/>
    </row>
    <row r="25" spans="1:7" x14ac:dyDescent="0.25">
      <c r="A25" s="14"/>
    </row>
    <row r="26" spans="1:7" x14ac:dyDescent="0.25">
      <c r="A26" t="s">
        <v>221</v>
      </c>
    </row>
    <row r="27" spans="1:7" x14ac:dyDescent="0.25">
      <c r="A27" s="22" t="s">
        <v>89</v>
      </c>
    </row>
    <row r="43" ht="30.75" customHeight="1" x14ac:dyDescent="0.25"/>
  </sheetData>
  <mergeCells count="2">
    <mergeCell ref="A24:E24"/>
    <mergeCell ref="A1:F1"/>
  </mergeCells>
  <hyperlinks>
    <hyperlink ref="A27" r:id="rId1"/>
  </hyperlinks>
  <pageMargins left="0.7" right="0.7" top="0.75" bottom="0.75" header="0.3" footer="0.3"/>
  <pageSetup scale="94" orientation="portrait" cellComments="atEnd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zoomScaleNormal="100" workbookViewId="0">
      <selection activeCell="A29" sqref="A29"/>
    </sheetView>
  </sheetViews>
  <sheetFormatPr defaultRowHeight="15" x14ac:dyDescent="0.25"/>
  <cols>
    <col min="1" max="1" width="18.85546875" bestFit="1" customWidth="1"/>
    <col min="2" max="2" width="12.42578125" customWidth="1"/>
    <col min="3" max="4" width="14.42578125" customWidth="1"/>
    <col min="5" max="5" width="14.140625" customWidth="1"/>
  </cols>
  <sheetData>
    <row r="1" spans="1:5" ht="18.75" customHeight="1" x14ac:dyDescent="0.3">
      <c r="A1" s="37" t="s">
        <v>227</v>
      </c>
      <c r="B1" s="38"/>
      <c r="C1" s="38"/>
      <c r="D1" s="38"/>
      <c r="E1" s="39"/>
    </row>
    <row r="2" spans="1:5" ht="60" x14ac:dyDescent="0.25">
      <c r="A2" s="5" t="s">
        <v>0</v>
      </c>
      <c r="B2" s="5" t="s">
        <v>132</v>
      </c>
      <c r="C2" s="5" t="s">
        <v>223</v>
      </c>
      <c r="D2" s="5" t="s">
        <v>224</v>
      </c>
      <c r="E2" s="5" t="s">
        <v>225</v>
      </c>
    </row>
    <row r="3" spans="1:5" x14ac:dyDescent="0.25">
      <c r="A3" s="17" t="s">
        <v>1</v>
      </c>
      <c r="B3" s="2">
        <f>'2017 Reported Data'!AZ2</f>
        <v>82477</v>
      </c>
      <c r="C3" s="2">
        <f>'2017 Reported Data'!K2</f>
        <v>76599.702000000005</v>
      </c>
      <c r="D3" s="2">
        <f>'2017 Reported Data'!AG2</f>
        <v>0</v>
      </c>
      <c r="E3" s="3">
        <f>(C3+D3)/B3</f>
        <v>0.928740157862192</v>
      </c>
    </row>
    <row r="4" spans="1:5" x14ac:dyDescent="0.25">
      <c r="A4" s="17" t="s">
        <v>2</v>
      </c>
      <c r="B4" s="2">
        <f>'2017 Reported Data'!AZ3</f>
        <v>17257</v>
      </c>
      <c r="C4" s="2">
        <f>'2017 Reported Data'!K3</f>
        <v>10209</v>
      </c>
      <c r="D4" s="2">
        <f>'2017 Reported Data'!AG3</f>
        <v>0</v>
      </c>
      <c r="E4" s="3">
        <f t="shared" ref="E4:E20" si="0">(C4+D4)/B4</f>
        <v>0.59158602306310482</v>
      </c>
    </row>
    <row r="5" spans="1:5" x14ac:dyDescent="0.25">
      <c r="A5" s="17" t="s">
        <v>3</v>
      </c>
      <c r="B5" s="2">
        <f>'2017 Reported Data'!AZ4</f>
        <v>14541.599999999999</v>
      </c>
      <c r="C5" s="2">
        <f>'2017 Reported Data'!K4</f>
        <v>17901.471999999998</v>
      </c>
      <c r="D5" s="2">
        <f>'2017 Reported Data'!AG4</f>
        <v>0</v>
      </c>
      <c r="E5" s="3">
        <f t="shared" si="0"/>
        <v>1.2310524288936568</v>
      </c>
    </row>
    <row r="6" spans="1:5" x14ac:dyDescent="0.25">
      <c r="A6" s="17" t="s">
        <v>4</v>
      </c>
      <c r="B6" s="2">
        <f>'2017 Reported Data'!AZ5</f>
        <v>7008</v>
      </c>
      <c r="C6" s="2">
        <f>'2017 Reported Data'!K5</f>
        <v>5199.8499094137624</v>
      </c>
      <c r="D6" s="2">
        <f>'2017 Reported Data'!AG5</f>
        <v>0</v>
      </c>
      <c r="E6" s="3">
        <f t="shared" si="0"/>
        <v>0.74198771538438391</v>
      </c>
    </row>
    <row r="7" spans="1:5" x14ac:dyDescent="0.25">
      <c r="A7" s="17" t="s">
        <v>48</v>
      </c>
      <c r="B7" s="2">
        <f>'2017 Reported Data'!AZ6</f>
        <v>67802</v>
      </c>
      <c r="C7" s="2">
        <f>'2017 Reported Data'!K6</f>
        <v>44212</v>
      </c>
      <c r="D7" s="2">
        <f>'2017 Reported Data'!AG6</f>
        <v>0</v>
      </c>
      <c r="E7" s="3">
        <f t="shared" si="0"/>
        <v>0.65207516002477806</v>
      </c>
    </row>
    <row r="8" spans="1:5" x14ac:dyDescent="0.25">
      <c r="A8" s="17" t="s">
        <v>5</v>
      </c>
      <c r="B8" s="2">
        <f>'2017 Reported Data'!AZ7</f>
        <v>41259.599999999999</v>
      </c>
      <c r="C8" s="2">
        <f>'2017 Reported Data'!K7</f>
        <v>115530.715</v>
      </c>
      <c r="D8" s="2">
        <f>'2017 Reported Data'!AG7</f>
        <v>0</v>
      </c>
      <c r="E8" s="3">
        <f t="shared" si="0"/>
        <v>2.8000929480654198</v>
      </c>
    </row>
    <row r="9" spans="1:5" x14ac:dyDescent="0.25">
      <c r="A9" s="17" t="s">
        <v>6</v>
      </c>
      <c r="B9" s="2">
        <f>'2017 Reported Data'!AZ8</f>
        <v>26718</v>
      </c>
      <c r="C9" s="2">
        <f>'2017 Reported Data'!K8</f>
        <v>22012.94</v>
      </c>
      <c r="D9" s="2">
        <f>'2017 Reported Data'!AG8</f>
        <v>0</v>
      </c>
      <c r="E9" s="3">
        <f t="shared" si="0"/>
        <v>0.82389924395538583</v>
      </c>
    </row>
    <row r="10" spans="1:5" x14ac:dyDescent="0.25">
      <c r="A10" s="17" t="s">
        <v>7</v>
      </c>
      <c r="B10" s="2">
        <f>'2017 Reported Data'!AZ9</f>
        <v>6482.4</v>
      </c>
      <c r="C10" s="2">
        <f>'2017 Reported Data'!K9</f>
        <v>7927</v>
      </c>
      <c r="D10" s="2">
        <f>'2017 Reported Data'!AG9</f>
        <v>0</v>
      </c>
      <c r="E10" s="3">
        <f t="shared" si="0"/>
        <v>1.2228495618906579</v>
      </c>
    </row>
    <row r="11" spans="1:5" x14ac:dyDescent="0.25">
      <c r="A11" s="17" t="s">
        <v>8</v>
      </c>
      <c r="B11" s="2">
        <f>'2017 Reported Data'!AZ10</f>
        <v>6657.6</v>
      </c>
      <c r="C11" s="2">
        <f>'2017 Reported Data'!K10</f>
        <v>7307</v>
      </c>
      <c r="D11" s="2">
        <f>'2017 Reported Data'!AG10</f>
        <v>0</v>
      </c>
      <c r="E11" s="3">
        <f t="shared" si="0"/>
        <v>1.0975426580149001</v>
      </c>
    </row>
    <row r="12" spans="1:5" x14ac:dyDescent="0.25">
      <c r="A12" s="17" t="s">
        <v>9</v>
      </c>
      <c r="B12" s="2">
        <f>'2017 Reported Data'!AZ11</f>
        <v>5519</v>
      </c>
      <c r="C12" s="2">
        <f>'2017 Reported Data'!K11</f>
        <v>4465.08</v>
      </c>
      <c r="D12" s="2">
        <f>'2017 Reported Data'!AG11</f>
        <v>0</v>
      </c>
      <c r="E12" s="3">
        <f t="shared" si="0"/>
        <v>0.80903786917919907</v>
      </c>
    </row>
    <row r="13" spans="1:5" x14ac:dyDescent="0.25">
      <c r="A13" s="17" t="s">
        <v>10</v>
      </c>
      <c r="B13" s="2">
        <f>'2017 Reported Data'!AZ12</f>
        <v>3428</v>
      </c>
      <c r="C13" s="2">
        <f>'2017 Reported Data'!K12</f>
        <v>5398.7000000000007</v>
      </c>
      <c r="D13" s="2">
        <f>'2017 Reported Data'!AG12</f>
        <v>0</v>
      </c>
      <c r="E13" s="3">
        <f t="shared" si="0"/>
        <v>1.5748833138856477</v>
      </c>
    </row>
    <row r="14" spans="1:5" x14ac:dyDescent="0.25">
      <c r="A14" s="17" t="s">
        <v>15</v>
      </c>
      <c r="B14" s="2">
        <f>'2017 Reported Data'!AZ13</f>
        <v>95254</v>
      </c>
      <c r="C14" s="2">
        <f>'2017 Reported Data'!K13</f>
        <v>55269.654999999999</v>
      </c>
      <c r="D14" s="2">
        <f>'2017 Reported Data'!AG13</f>
        <v>0</v>
      </c>
      <c r="E14" s="3">
        <f t="shared" si="0"/>
        <v>0.58023447834211683</v>
      </c>
    </row>
    <row r="15" spans="1:5" x14ac:dyDescent="0.25">
      <c r="A15" s="17" t="s">
        <v>11</v>
      </c>
      <c r="B15" s="2">
        <f>'2017 Reported Data'!AZ14</f>
        <v>4767</v>
      </c>
      <c r="C15" s="2">
        <f>'2017 Reported Data'!K14</f>
        <v>3899.9319999999998</v>
      </c>
      <c r="D15" s="2">
        <f>'2017 Reported Data'!AG14</f>
        <v>0</v>
      </c>
      <c r="E15" s="3">
        <f t="shared" si="0"/>
        <v>0.81811034193413046</v>
      </c>
    </row>
    <row r="16" spans="1:5" x14ac:dyDescent="0.25">
      <c r="A16" s="17" t="s">
        <v>14</v>
      </c>
      <c r="B16" s="2">
        <f>'2017 Reported Data'!AZ15</f>
        <v>605194</v>
      </c>
      <c r="C16" s="2">
        <f>'2017 Reported Data'!K15</f>
        <v>314525</v>
      </c>
      <c r="D16" s="2">
        <f>'2017 Reported Data'!AG15</f>
        <v>0</v>
      </c>
      <c r="E16" s="3">
        <f t="shared" si="0"/>
        <v>0.51970938244595943</v>
      </c>
    </row>
    <row r="17" spans="1:5" x14ac:dyDescent="0.25">
      <c r="A17" s="17" t="s">
        <v>12</v>
      </c>
      <c r="B17" s="2">
        <f>'2017 Reported Data'!AZ16</f>
        <v>224431</v>
      </c>
      <c r="C17" s="2">
        <f>'2017 Reported Data'!K16</f>
        <v>134845.76629719997</v>
      </c>
      <c r="D17" s="2">
        <f>'2017 Reported Data'!AG16</f>
        <v>0</v>
      </c>
      <c r="E17" s="3">
        <f t="shared" si="0"/>
        <v>0.6008339591999321</v>
      </c>
    </row>
    <row r="18" spans="1:5" x14ac:dyDescent="0.25">
      <c r="A18" s="17" t="s">
        <v>13</v>
      </c>
      <c r="B18" s="2">
        <f>'2017 Reported Data'!AZ17</f>
        <v>122990</v>
      </c>
      <c r="C18" s="2">
        <f>'2017 Reported Data'!K17</f>
        <v>89354.174106131832</v>
      </c>
      <c r="D18" s="2">
        <f>'2017 Reported Data'!AG17</f>
        <v>0</v>
      </c>
      <c r="E18" s="3">
        <f t="shared" si="0"/>
        <v>0.72651576637232163</v>
      </c>
    </row>
    <row r="19" spans="1:5" x14ac:dyDescent="0.25">
      <c r="A19" s="18" t="s">
        <v>62</v>
      </c>
      <c r="B19" s="6">
        <f>'2017 Reported Data'!AZ18</f>
        <v>81993</v>
      </c>
      <c r="C19" s="6">
        <f>'2017 Reported Data'!K18</f>
        <v>50049</v>
      </c>
      <c r="D19" s="6">
        <f>'2017 Reported Data'!AG18</f>
        <v>0</v>
      </c>
      <c r="E19" s="23">
        <f t="shared" si="0"/>
        <v>0.6104057663459076</v>
      </c>
    </row>
    <row r="20" spans="1:5" x14ac:dyDescent="0.25">
      <c r="A20" s="19" t="s">
        <v>63</v>
      </c>
      <c r="B20" s="15">
        <f>SUM(B3:B19)</f>
        <v>1413779.2</v>
      </c>
      <c r="C20" s="15">
        <f>SUM(C3:C19)</f>
        <v>964706.9863127456</v>
      </c>
      <c r="D20" s="15">
        <f>SUM(D3:D19)</f>
        <v>0</v>
      </c>
      <c r="E20" s="3">
        <f t="shared" si="0"/>
        <v>0.6823604324584388</v>
      </c>
    </row>
    <row r="21" spans="1:5" x14ac:dyDescent="0.25">
      <c r="A21" s="14"/>
      <c r="B21" s="14"/>
      <c r="C21" s="14"/>
      <c r="D21" s="14"/>
      <c r="E21" s="14"/>
    </row>
    <row r="22" spans="1:5" x14ac:dyDescent="0.25">
      <c r="A22" t="s">
        <v>221</v>
      </c>
    </row>
    <row r="23" spans="1:5" x14ac:dyDescent="0.25">
      <c r="A23" s="22" t="s">
        <v>89</v>
      </c>
    </row>
    <row r="24" spans="1:5" x14ac:dyDescent="0.25">
      <c r="B24" s="26"/>
      <c r="C24" s="26"/>
      <c r="D24" s="26"/>
      <c r="E24" s="26"/>
    </row>
    <row r="66" ht="30.75" customHeight="1" x14ac:dyDescent="0.25"/>
  </sheetData>
  <mergeCells count="1">
    <mergeCell ref="A1:E1"/>
  </mergeCells>
  <conditionalFormatting sqref="E3:E19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{EC61C28D-2818-4C48-A31D-0ECFA545455F}</x14:id>
        </ext>
      </extLst>
    </cfRule>
  </conditionalFormatting>
  <hyperlinks>
    <hyperlink ref="A23" r:id="rId1"/>
  </hyperlinks>
  <pageMargins left="0.7" right="0.7" top="0.75" bottom="0.75" header="0.3" footer="0.3"/>
  <pageSetup orientation="portrait" cellComments="atEnd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C61C28D-2818-4C48-A31D-0ECFA545455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E3:E19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zoomScaleNormal="100" workbookViewId="0">
      <selection activeCell="A29" sqref="A29"/>
    </sheetView>
  </sheetViews>
  <sheetFormatPr defaultRowHeight="15" x14ac:dyDescent="0.25"/>
  <cols>
    <col min="1" max="1" width="19" customWidth="1"/>
    <col min="2" max="2" width="11.42578125" customWidth="1"/>
    <col min="3" max="3" width="11.85546875" customWidth="1"/>
    <col min="4" max="4" width="10.5703125" customWidth="1"/>
    <col min="5" max="5" width="12.42578125" customWidth="1"/>
    <col min="7" max="7" width="11.5703125" customWidth="1"/>
  </cols>
  <sheetData>
    <row r="1" spans="1:8" ht="18.75" x14ac:dyDescent="0.3">
      <c r="A1" s="37" t="s">
        <v>226</v>
      </c>
      <c r="B1" s="38"/>
      <c r="C1" s="38"/>
      <c r="D1" s="38"/>
      <c r="E1" s="38"/>
      <c r="F1" s="38"/>
      <c r="G1" s="38"/>
      <c r="H1" s="39"/>
    </row>
    <row r="2" spans="1:8" x14ac:dyDescent="0.25">
      <c r="A2" s="5" t="s">
        <v>0</v>
      </c>
      <c r="B2" s="25" t="s">
        <v>82</v>
      </c>
      <c r="C2" s="25" t="s">
        <v>83</v>
      </c>
      <c r="D2" s="25" t="s">
        <v>84</v>
      </c>
      <c r="E2" s="25" t="s">
        <v>85</v>
      </c>
      <c r="F2" s="25" t="s">
        <v>86</v>
      </c>
      <c r="G2" s="25" t="s">
        <v>88</v>
      </c>
      <c r="H2" s="25" t="s">
        <v>87</v>
      </c>
    </row>
    <row r="3" spans="1:8" x14ac:dyDescent="0.25">
      <c r="A3" s="17" t="s">
        <v>1</v>
      </c>
      <c r="B3" s="3">
        <f>('2017 Reported Data'!W2+'2017 Reported Data'!AS2)/('2017 Reported Data'!$K2+'2017 Reported Data'!$AG2)</f>
        <v>0.43850214978643121</v>
      </c>
      <c r="C3" s="3">
        <f>1/('2017 Reported Data'!$K2+'2017 Reported Data'!$AG2)*('2017 Reported Data'!E2+'2017 Reported Data'!AA2)</f>
        <v>0.48852119555243173</v>
      </c>
      <c r="D3" s="3">
        <f>1/('2017 Reported Data'!$K2+'2017 Reported Data'!$AG2)*('2017 Reported Data'!J2+'2017 Reported Data'!AF2)</f>
        <v>0</v>
      </c>
      <c r="E3" s="3">
        <f>1/('2017 Reported Data'!$K2+'2017 Reported Data'!$AG2)*('2017 Reported Data'!C2+'2017 Reported Data'!Y2)</f>
        <v>0</v>
      </c>
      <c r="F3" s="3">
        <f>1/('2017 Reported Data'!$K2+'2017 Reported Data'!$AG2)*('2017 Reported Data'!M2+'2017 Reported Data'!AI2)</f>
        <v>6.563994204572754E-2</v>
      </c>
      <c r="G3" s="3">
        <f>1/('2017 Reported Data'!$K2+'2017 Reported Data'!$AG2)*('2017 Reported Data'!G2+'2017 Reported Data'!AC2)</f>
        <v>2.3236382825614645E-3</v>
      </c>
      <c r="H3" s="8">
        <f>1-SUM(B3:G3)</f>
        <v>5.0130743328480332E-3</v>
      </c>
    </row>
    <row r="4" spans="1:8" x14ac:dyDescent="0.25">
      <c r="A4" s="17" t="s">
        <v>2</v>
      </c>
      <c r="B4" s="3">
        <f>('2017 Reported Data'!W3+'2017 Reported Data'!AS3)/('2017 Reported Data'!$K3+'2017 Reported Data'!$AG3)</f>
        <v>0.31393868155549026</v>
      </c>
      <c r="C4" s="3">
        <f>1/('2017 Reported Data'!$K3+'2017 Reported Data'!$AG3)*('2017 Reported Data'!E3+'2017 Reported Data'!AA3)</f>
        <v>0.2265647957684396</v>
      </c>
      <c r="D4" s="3">
        <f>1/('2017 Reported Data'!$K3+'2017 Reported Data'!$AG3)*('2017 Reported Data'!J3+'2017 Reported Data'!AF3)</f>
        <v>0.29709080223332351</v>
      </c>
      <c r="E4" s="3">
        <f>1/('2017 Reported Data'!$K3+'2017 Reported Data'!$AG3)*('2017 Reported Data'!C3+'2017 Reported Data'!Y3)</f>
        <v>0</v>
      </c>
      <c r="F4" s="3">
        <f>1/('2017 Reported Data'!$K3+'2017 Reported Data'!$AG3)*('2017 Reported Data'!M3+'2017 Reported Data'!AI3)</f>
        <v>0.16240572044274659</v>
      </c>
      <c r="G4" s="3">
        <f>1/('2017 Reported Data'!$K3+'2017 Reported Data'!$AG3)*('2017 Reported Data'!G3+'2017 Reported Data'!AC3)</f>
        <v>0</v>
      </c>
      <c r="H4" s="8">
        <f t="shared" ref="H4:H20" si="0">1-SUM(B4:G4)</f>
        <v>0</v>
      </c>
    </row>
    <row r="5" spans="1:8" x14ac:dyDescent="0.25">
      <c r="A5" s="17" t="s">
        <v>3</v>
      </c>
      <c r="B5" s="3">
        <f>('2017 Reported Data'!W4+'2017 Reported Data'!AS4)/('2017 Reported Data'!$K4+'2017 Reported Data'!$AG4)</f>
        <v>0.13410751920289016</v>
      </c>
      <c r="C5" s="3">
        <f>1/('2017 Reported Data'!$K4+'2017 Reported Data'!$AG4)*('2017 Reported Data'!E4+'2017 Reported Data'!AA4)</f>
        <v>0.5794707831847572</v>
      </c>
      <c r="D5" s="3">
        <f>1/('2017 Reported Data'!$K4+'2017 Reported Data'!$AG4)*('2017 Reported Data'!J4+'2017 Reported Data'!AF4)</f>
        <v>0.25205580859495808</v>
      </c>
      <c r="E5" s="3">
        <f>1/('2017 Reported Data'!$K4+'2017 Reported Data'!$AG4)*('2017 Reported Data'!C4+'2017 Reported Data'!Y4)</f>
        <v>1.1172265610336403E-4</v>
      </c>
      <c r="F5" s="3">
        <f>1/('2017 Reported Data'!$K4+'2017 Reported Data'!$AG4)*('2017 Reported Data'!M4+'2017 Reported Data'!AI4)</f>
        <v>3.4254166361291416E-2</v>
      </c>
      <c r="G5" s="3">
        <f>1/('2017 Reported Data'!$K4+'2017 Reported Data'!$AG4)*('2017 Reported Data'!G4+'2017 Reported Data'!AC4)</f>
        <v>0</v>
      </c>
      <c r="H5" s="8">
        <f t="shared" si="0"/>
        <v>0</v>
      </c>
    </row>
    <row r="6" spans="1:8" x14ac:dyDescent="0.25">
      <c r="A6" s="17" t="s">
        <v>4</v>
      </c>
      <c r="B6" s="3">
        <f>('2017 Reported Data'!W5+'2017 Reported Data'!AS5)/('2017 Reported Data'!$K5+'2017 Reported Data'!$AG5)</f>
        <v>0.62231373950653635</v>
      </c>
      <c r="C6" s="3">
        <f>1/('2017 Reported Data'!$K5+'2017 Reported Data'!$AG5)*('2017 Reported Data'!E5+'2017 Reported Data'!AA5)</f>
        <v>0.24742231407190909</v>
      </c>
      <c r="D6" s="3">
        <f>1/('2017 Reported Data'!$K5+'2017 Reported Data'!$AG5)*('2017 Reported Data'!J5+'2017 Reported Data'!AF5)</f>
        <v>0</v>
      </c>
      <c r="E6" s="3">
        <f>1/('2017 Reported Data'!$K5+'2017 Reported Data'!$AG5)*('2017 Reported Data'!C5+'2017 Reported Data'!Y5)</f>
        <v>1.3544737103371592E-3</v>
      </c>
      <c r="F6" s="3">
        <f>1/('2017 Reported Data'!$K5+'2017 Reported Data'!$AG5)*('2017 Reported Data'!M5+'2017 Reported Data'!AI5)</f>
        <v>0.11471081096401259</v>
      </c>
      <c r="G6" s="3">
        <f>1/('2017 Reported Data'!$K5+'2017 Reported Data'!$AG5)*('2017 Reported Data'!G5+'2017 Reported Data'!AC5)</f>
        <v>1.4198661747204891E-2</v>
      </c>
      <c r="H6" s="8">
        <f t="shared" si="0"/>
        <v>0</v>
      </c>
    </row>
    <row r="7" spans="1:8" x14ac:dyDescent="0.25">
      <c r="A7" s="17" t="s">
        <v>48</v>
      </c>
      <c r="B7" s="3">
        <f>('2017 Reported Data'!W6+'2017 Reported Data'!AS6)/('2017 Reported Data'!$K6+'2017 Reported Data'!$AG6)</f>
        <v>0.50484031484664793</v>
      </c>
      <c r="C7" s="3">
        <f>1/('2017 Reported Data'!$K6+'2017 Reported Data'!$AG6)*('2017 Reported Data'!E6+'2017 Reported Data'!AA6)</f>
        <v>0.24816791821225009</v>
      </c>
      <c r="D7" s="3">
        <f>1/('2017 Reported Data'!$K6+'2017 Reported Data'!$AG6)*('2017 Reported Data'!J6+'2017 Reported Data'!AF6)</f>
        <v>0.15165565909707773</v>
      </c>
      <c r="E7" s="3">
        <f>1/('2017 Reported Data'!$K6+'2017 Reported Data'!$AG6)*('2017 Reported Data'!C6+'2017 Reported Data'!Y6)</f>
        <v>0</v>
      </c>
      <c r="F7" s="3">
        <f>1/('2017 Reported Data'!$K6+'2017 Reported Data'!$AG6)*('2017 Reported Data'!M6+'2017 Reported Data'!AI6)</f>
        <v>9.5336107844024257E-2</v>
      </c>
      <c r="G7" s="3">
        <f>1/('2017 Reported Data'!$K6+'2017 Reported Data'!$AG6)*('2017 Reported Data'!G6+'2017 Reported Data'!AC6)</f>
        <v>0</v>
      </c>
      <c r="H7" s="8">
        <f t="shared" si="0"/>
        <v>0</v>
      </c>
    </row>
    <row r="8" spans="1:8" x14ac:dyDescent="0.25">
      <c r="A8" s="17" t="s">
        <v>5</v>
      </c>
      <c r="B8" s="3">
        <f>('2017 Reported Data'!W7+'2017 Reported Data'!AS7)/('2017 Reported Data'!$K7+'2017 Reported Data'!$AG7)</f>
        <v>2.6226791723742038E-2</v>
      </c>
      <c r="C8" s="3">
        <f>1/('2017 Reported Data'!$K7+'2017 Reported Data'!$AG7)*('2017 Reported Data'!E7+'2017 Reported Data'!AA7)</f>
        <v>3.3471618348419288E-2</v>
      </c>
      <c r="D8" s="3">
        <f>1/('2017 Reported Data'!$K7+'2017 Reported Data'!$AG7)*('2017 Reported Data'!J7+'2017 Reported Data'!AF7)</f>
        <v>0.90127547466489755</v>
      </c>
      <c r="E8" s="3">
        <f>1/('2017 Reported Data'!$K7+'2017 Reported Data'!$AG7)*('2017 Reported Data'!C7+'2017 Reported Data'!Y7)</f>
        <v>0</v>
      </c>
      <c r="F8" s="3">
        <f>1/('2017 Reported Data'!$K7+'2017 Reported Data'!$AG7)*('2017 Reported Data'!M7+'2017 Reported Data'!AI7)</f>
        <v>3.9026115262941113E-2</v>
      </c>
      <c r="G8" s="3">
        <f>1/('2017 Reported Data'!$K7+'2017 Reported Data'!$AG7)*('2017 Reported Data'!G7+'2017 Reported Data'!AC7)</f>
        <v>0</v>
      </c>
      <c r="H8" s="8">
        <f t="shared" si="0"/>
        <v>0</v>
      </c>
    </row>
    <row r="9" spans="1:8" x14ac:dyDescent="0.25">
      <c r="A9" s="17" t="s">
        <v>6</v>
      </c>
      <c r="B9" s="3">
        <f>('2017 Reported Data'!W8+'2017 Reported Data'!AS8)/('2017 Reported Data'!$K8+'2017 Reported Data'!$AG8)</f>
        <v>5.6770699415889025E-2</v>
      </c>
      <c r="C9" s="3">
        <f>1/('2017 Reported Data'!$K8+'2017 Reported Data'!$AG8)*('2017 Reported Data'!E8+'2017 Reported Data'!AA8)</f>
        <v>0.10402654075284809</v>
      </c>
      <c r="D9" s="3">
        <f>1/('2017 Reported Data'!$K8+'2017 Reported Data'!$AG8)*('2017 Reported Data'!J8+'2017 Reported Data'!AF8)</f>
        <v>0.69409265641027507</v>
      </c>
      <c r="E9" s="3">
        <f>1/('2017 Reported Data'!$K8+'2017 Reported Data'!$AG8)*('2017 Reported Data'!C8+'2017 Reported Data'!Y8)</f>
        <v>8.3509971862004803E-2</v>
      </c>
      <c r="F9" s="3">
        <f>1/('2017 Reported Data'!$K8+'2017 Reported Data'!$AG8)*('2017 Reported Data'!M8+'2017 Reported Data'!AI8)</f>
        <v>6.1600131558983036E-2</v>
      </c>
      <c r="G9" s="3">
        <f>1/('2017 Reported Data'!$K8+'2017 Reported Data'!$AG8)*('2017 Reported Data'!G8+'2017 Reported Data'!AC8)</f>
        <v>0</v>
      </c>
      <c r="H9" s="8">
        <f t="shared" si="0"/>
        <v>0</v>
      </c>
    </row>
    <row r="10" spans="1:8" x14ac:dyDescent="0.25">
      <c r="A10" s="17" t="s">
        <v>7</v>
      </c>
      <c r="B10" s="3">
        <f>('2017 Reported Data'!W9+'2017 Reported Data'!AS9)/('2017 Reported Data'!$K9+'2017 Reported Data'!$AG9)</f>
        <v>0.23123501955342501</v>
      </c>
      <c r="C10" s="3">
        <f>1/('2017 Reported Data'!$K9+'2017 Reported Data'!$AG9)*('2017 Reported Data'!E9+'2017 Reported Data'!AA9)</f>
        <v>0.25646524536394599</v>
      </c>
      <c r="D10" s="3">
        <f>1/('2017 Reported Data'!$K9+'2017 Reported Data'!$AG9)*('2017 Reported Data'!J9+'2017 Reported Data'!AF9)</f>
        <v>0.37618266683486817</v>
      </c>
      <c r="E10" s="3">
        <f>1/('2017 Reported Data'!$K9+'2017 Reported Data'!$AG9)*('2017 Reported Data'!C9+'2017 Reported Data'!Y9)</f>
        <v>2.5230225810521004E-4</v>
      </c>
      <c r="F10" s="3">
        <f>1/('2017 Reported Data'!$K9+'2017 Reported Data'!$AG9)*('2017 Reported Data'!M9+'2017 Reported Data'!AI9)</f>
        <v>0.13586476598965561</v>
      </c>
      <c r="G10" s="3">
        <f>1/('2017 Reported Data'!$K9+'2017 Reported Data'!$AG9)*('2017 Reported Data'!G9+'2017 Reported Data'!AC9)</f>
        <v>0</v>
      </c>
      <c r="H10" s="8">
        <f t="shared" si="0"/>
        <v>0</v>
      </c>
    </row>
    <row r="11" spans="1:8" x14ac:dyDescent="0.25">
      <c r="A11" s="17" t="s">
        <v>8</v>
      </c>
      <c r="B11" s="3">
        <f>('2017 Reported Data'!W10+'2017 Reported Data'!AS10)/('2017 Reported Data'!$K10+'2017 Reported Data'!$AG10)</f>
        <v>0.3565074586013412</v>
      </c>
      <c r="C11" s="3">
        <f>1/('2017 Reported Data'!$K10+'2017 Reported Data'!$AG10)*('2017 Reported Data'!E10+'2017 Reported Data'!AA10)</f>
        <v>0.44820035582318329</v>
      </c>
      <c r="D11" s="3">
        <f>1/('2017 Reported Data'!$K10+'2017 Reported Data'!$AG10)*('2017 Reported Data'!J10+'2017 Reported Data'!AF10)</f>
        <v>0</v>
      </c>
      <c r="E11" s="3">
        <f>1/('2017 Reported Data'!$K10+'2017 Reported Data'!$AG10)*('2017 Reported Data'!C10+'2017 Reported Data'!Y10)</f>
        <v>0.10852607089092652</v>
      </c>
      <c r="F11" s="3">
        <f>1/('2017 Reported Data'!$K10+'2017 Reported Data'!$AG10)*('2017 Reported Data'!M10+'2017 Reported Data'!AI10)</f>
        <v>8.6766114684549075E-2</v>
      </c>
      <c r="G11" s="3">
        <f>1/('2017 Reported Data'!$K10+'2017 Reported Data'!$AG10)*('2017 Reported Data'!G10+'2017 Reported Data'!AC10)</f>
        <v>0</v>
      </c>
      <c r="H11" s="8">
        <f t="shared" si="0"/>
        <v>0</v>
      </c>
    </row>
    <row r="12" spans="1:8" x14ac:dyDescent="0.25">
      <c r="A12" s="17" t="s">
        <v>9</v>
      </c>
      <c r="B12" s="3">
        <f>('2017 Reported Data'!W11+'2017 Reported Data'!AS11)/('2017 Reported Data'!$K11+'2017 Reported Data'!$AG11)</f>
        <v>0.27303654133856509</v>
      </c>
      <c r="C12" s="3">
        <f>1/('2017 Reported Data'!$K11+'2017 Reported Data'!$AG11)*('2017 Reported Data'!E11+'2017 Reported Data'!AA11)</f>
        <v>0.14216542592741899</v>
      </c>
      <c r="D12" s="3">
        <f>1/('2017 Reported Data'!$K11+'2017 Reported Data'!$AG11)*('2017 Reported Data'!J11+'2017 Reported Data'!AF11)</f>
        <v>0.38345785517840669</v>
      </c>
      <c r="E12" s="3">
        <f>1/('2017 Reported Data'!$K11+'2017 Reported Data'!$AG11)*('2017 Reported Data'!C11+'2017 Reported Data'!Y11)</f>
        <v>0</v>
      </c>
      <c r="F12" s="3">
        <f>1/('2017 Reported Data'!$K11+'2017 Reported Data'!$AG11)*('2017 Reported Data'!M11+'2017 Reported Data'!AI11)</f>
        <v>0.20134017755560932</v>
      </c>
      <c r="G12" s="3">
        <f>1/('2017 Reported Data'!$K11+'2017 Reported Data'!$AG11)*('2017 Reported Data'!G11+'2017 Reported Data'!AC11)</f>
        <v>0</v>
      </c>
      <c r="H12" s="8">
        <f t="shared" si="0"/>
        <v>0</v>
      </c>
    </row>
    <row r="13" spans="1:8" x14ac:dyDescent="0.25">
      <c r="A13" s="17" t="s">
        <v>10</v>
      </c>
      <c r="B13" s="3">
        <f>('2017 Reported Data'!W12+'2017 Reported Data'!AS12)/('2017 Reported Data'!$K12+'2017 Reported Data'!$AG12)</f>
        <v>0.16383388593550297</v>
      </c>
      <c r="C13" s="3">
        <f>1/('2017 Reported Data'!$K12+'2017 Reported Data'!$AG12)*('2017 Reported Data'!E12+'2017 Reported Data'!AA12)</f>
        <v>0.12451330875951616</v>
      </c>
      <c r="D13" s="3">
        <f>1/('2017 Reported Data'!$K12+'2017 Reported Data'!$AG12)*('2017 Reported Data'!J12+'2017 Reported Data'!AF12)</f>
        <v>0.60299701780058157</v>
      </c>
      <c r="E13" s="3">
        <f>1/('2017 Reported Data'!$K12+'2017 Reported Data'!$AG12)*('2017 Reported Data'!C12+'2017 Reported Data'!Y12)</f>
        <v>0</v>
      </c>
      <c r="F13" s="3">
        <f>1/('2017 Reported Data'!$K12+'2017 Reported Data'!$AG12)*('2017 Reported Data'!M12+'2017 Reported Data'!AI12)</f>
        <v>0.10865578750439919</v>
      </c>
      <c r="G13" s="3">
        <f>1/('2017 Reported Data'!$K12+'2017 Reported Data'!$AG12)*('2017 Reported Data'!G12+'2017 Reported Data'!AC12)</f>
        <v>0</v>
      </c>
      <c r="H13" s="8">
        <f t="shared" si="0"/>
        <v>0</v>
      </c>
    </row>
    <row r="14" spans="1:8" x14ac:dyDescent="0.25">
      <c r="A14" s="17" t="s">
        <v>15</v>
      </c>
      <c r="B14" s="3">
        <f>('2017 Reported Data'!W13+'2017 Reported Data'!AS13)/('2017 Reported Data'!$K13+'2017 Reported Data'!$AG13)</f>
        <v>0.32732704772627946</v>
      </c>
      <c r="C14" s="3">
        <f>1/('2017 Reported Data'!$K13+'2017 Reported Data'!$AG13)*('2017 Reported Data'!E13+'2017 Reported Data'!AA13)</f>
        <v>0.32982026032187106</v>
      </c>
      <c r="D14" s="3">
        <f>1/('2017 Reported Data'!$K13+'2017 Reported Data'!$AG13)*('2017 Reported Data'!J13+'2017 Reported Data'!AF13)</f>
        <v>0.25851994191025801</v>
      </c>
      <c r="E14" s="3">
        <f>1/('2017 Reported Data'!$K13+'2017 Reported Data'!$AG13)*('2017 Reported Data'!C13+'2017 Reported Data'!Y13)</f>
        <v>1.3701659617741417E-2</v>
      </c>
      <c r="F14" s="3">
        <f>1/('2017 Reported Data'!$K13+'2017 Reported Data'!$AG13)*('2017 Reported Data'!M13+'2017 Reported Data'!AI13)</f>
        <v>7.0631090423850129E-2</v>
      </c>
      <c r="G14" s="3">
        <f>1/('2017 Reported Data'!$K13+'2017 Reported Data'!$AG13)*('2017 Reported Data'!G13+'2017 Reported Data'!AC13)</f>
        <v>0</v>
      </c>
      <c r="H14" s="8">
        <f t="shared" si="0"/>
        <v>0</v>
      </c>
    </row>
    <row r="15" spans="1:8" x14ac:dyDescent="0.25">
      <c r="A15" s="17" t="s">
        <v>11</v>
      </c>
      <c r="B15" s="3">
        <f>('2017 Reported Data'!W14+'2017 Reported Data'!AS14)/('2017 Reported Data'!$K14+'2017 Reported Data'!$AG14)</f>
        <v>0.67231941480005297</v>
      </c>
      <c r="C15" s="3">
        <f>1/('2017 Reported Data'!$K14+'2017 Reported Data'!$AG14)*('2017 Reported Data'!E14+'2017 Reported Data'!AA14)</f>
        <v>0.18216471466681983</v>
      </c>
      <c r="D15" s="3">
        <f>1/('2017 Reported Data'!$K14+'2017 Reported Data'!$AG14)*('2017 Reported Data'!J14+'2017 Reported Data'!AF14)</f>
        <v>0</v>
      </c>
      <c r="E15" s="3">
        <f>1/('2017 Reported Data'!$K14+'2017 Reported Data'!$AG14)*('2017 Reported Data'!C14+'2017 Reported Data'!Y14)</f>
        <v>0</v>
      </c>
      <c r="F15" s="3">
        <f>1/('2017 Reported Data'!$K14+'2017 Reported Data'!$AG14)*('2017 Reported Data'!M14+'2017 Reported Data'!AI14)</f>
        <v>0.14551587053312723</v>
      </c>
      <c r="G15" s="3">
        <f>1/('2017 Reported Data'!$K14+'2017 Reported Data'!$AG14)*('2017 Reported Data'!G14+'2017 Reported Data'!AC14)</f>
        <v>0</v>
      </c>
      <c r="H15" s="8">
        <f t="shared" si="0"/>
        <v>0</v>
      </c>
    </row>
    <row r="16" spans="1:8" x14ac:dyDescent="0.25">
      <c r="A16" s="17" t="s">
        <v>14</v>
      </c>
      <c r="B16" s="3">
        <f>('2017 Reported Data'!W15+'2017 Reported Data'!AS15)/('2017 Reported Data'!$K15+'2017 Reported Data'!$AG15)</f>
        <v>0.4511437882521262</v>
      </c>
      <c r="C16" s="3">
        <f>1/('2017 Reported Data'!$K15+'2017 Reported Data'!$AG15)*('2017 Reported Data'!E15+'2017 Reported Data'!AA15)</f>
        <v>0.40975502742230346</v>
      </c>
      <c r="D16" s="3">
        <f>1/('2017 Reported Data'!$K15+'2017 Reported Data'!$AG15)*('2017 Reported Data'!J15+'2017 Reported Data'!AF15)</f>
        <v>4.5528336380255947E-2</v>
      </c>
      <c r="E16" s="3">
        <f>1/('2017 Reported Data'!$K15+'2017 Reported Data'!$AG15)*('2017 Reported Data'!C15+'2017 Reported Data'!Y15)</f>
        <v>0</v>
      </c>
      <c r="F16" s="3">
        <f>1/('2017 Reported Data'!$K15+'2017 Reported Data'!$AG15)*('2017 Reported Data'!M15+'2017 Reported Data'!AI15)</f>
        <v>2.7851522136555125E-2</v>
      </c>
      <c r="G16" s="3">
        <f>1/('2017 Reported Data'!$K15+'2017 Reported Data'!$AG15)*('2017 Reported Data'!G15+'2017 Reported Data'!AC15)</f>
        <v>0</v>
      </c>
      <c r="H16" s="8">
        <f t="shared" si="0"/>
        <v>6.5721325808759112E-2</v>
      </c>
    </row>
    <row r="17" spans="1:8" x14ac:dyDescent="0.25">
      <c r="A17" s="17" t="s">
        <v>12</v>
      </c>
      <c r="B17" s="3">
        <f>('2017 Reported Data'!W16+'2017 Reported Data'!AS16)/('2017 Reported Data'!$K16+'2017 Reported Data'!$AG16)</f>
        <v>0.42881737877446946</v>
      </c>
      <c r="C17" s="3">
        <f>1/('2017 Reported Data'!$K16+'2017 Reported Data'!$AG16)*('2017 Reported Data'!E16+'2017 Reported Data'!AA16)</f>
        <v>0.4599744704581647</v>
      </c>
      <c r="D17" s="3">
        <f>1/('2017 Reported Data'!$K16+'2017 Reported Data'!$AG16)*('2017 Reported Data'!J16+'2017 Reported Data'!AF16)</f>
        <v>5.0423481111999784E-2</v>
      </c>
      <c r="E17" s="3">
        <f>1/('2017 Reported Data'!$K16+'2017 Reported Data'!$AG16)*('2017 Reported Data'!C16+'2017 Reported Data'!Y16)</f>
        <v>0</v>
      </c>
      <c r="F17" s="3">
        <f>1/('2017 Reported Data'!$K16+'2017 Reported Data'!$AG16)*('2017 Reported Data'!M16+'2017 Reported Data'!AI16)</f>
        <v>6.0784669655366101E-2</v>
      </c>
      <c r="G17" s="3">
        <f>1/('2017 Reported Data'!$K16+'2017 Reported Data'!$AG16)*('2017 Reported Data'!G16+'2017 Reported Data'!AC16)</f>
        <v>0</v>
      </c>
      <c r="H17" s="8">
        <f t="shared" si="0"/>
        <v>0</v>
      </c>
    </row>
    <row r="18" spans="1:8" x14ac:dyDescent="0.25">
      <c r="A18" s="17" t="s">
        <v>13</v>
      </c>
      <c r="B18" s="3">
        <f>('2017 Reported Data'!W17+'2017 Reported Data'!AS17)/('2017 Reported Data'!$K17+'2017 Reported Data'!$AG17)</f>
        <v>0.43539338120787874</v>
      </c>
      <c r="C18" s="3">
        <f>1/('2017 Reported Data'!$K17+'2017 Reported Data'!$AG17)*('2017 Reported Data'!E17+'2017 Reported Data'!AA17)</f>
        <v>0.32050265277422924</v>
      </c>
      <c r="D18" s="3">
        <f>1/('2017 Reported Data'!$K17+'2017 Reported Data'!$AG17)*('2017 Reported Data'!J17+'2017 Reported Data'!AF17)</f>
        <v>0.16243325827980526</v>
      </c>
      <c r="E18" s="3">
        <f>1/('2017 Reported Data'!$K17+'2017 Reported Data'!$AG17)*('2017 Reported Data'!C17+'2017 Reported Data'!Y17)</f>
        <v>0</v>
      </c>
      <c r="F18" s="3">
        <f>1/('2017 Reported Data'!$K17+'2017 Reported Data'!$AG17)*('2017 Reported Data'!M17+'2017 Reported Data'!AI17)</f>
        <v>8.1670707738086615E-2</v>
      </c>
      <c r="G18" s="3">
        <f>1/('2017 Reported Data'!$K17+'2017 Reported Data'!$AG17)*('2017 Reported Data'!G17+'2017 Reported Data'!AC17)</f>
        <v>0</v>
      </c>
      <c r="H18" s="8">
        <f t="shared" si="0"/>
        <v>0</v>
      </c>
    </row>
    <row r="19" spans="1:8" x14ac:dyDescent="0.25">
      <c r="A19" s="18" t="s">
        <v>62</v>
      </c>
      <c r="B19" s="23">
        <f>('2017 Reported Data'!W18+'2017 Reported Data'!AS18)/('2017 Reported Data'!$K18+'2017 Reported Data'!$AG18)</f>
        <v>0.26434094587304441</v>
      </c>
      <c r="C19" s="23">
        <f>1/('2017 Reported Data'!$K18+'2017 Reported Data'!$AG18)*('2017 Reported Data'!E18+'2017 Reported Data'!AA18)</f>
        <v>0.36668065296009911</v>
      </c>
      <c r="D19" s="23">
        <f>1/('2017 Reported Data'!$K18+'2017 Reported Data'!$AG18)*('2017 Reported Data'!J18+'2017 Reported Data'!AF18)</f>
        <v>0.20835581130492117</v>
      </c>
      <c r="E19" s="23">
        <f>1/('2017 Reported Data'!$K18+'2017 Reported Data'!$AG18)*('2017 Reported Data'!C18+'2017 Reported Data'!Y18)</f>
        <v>0</v>
      </c>
      <c r="F19" s="23">
        <f>1/('2017 Reported Data'!$K18+'2017 Reported Data'!$AG18)*('2017 Reported Data'!M18+'2017 Reported Data'!AI18)</f>
        <v>8.45371535894823E-2</v>
      </c>
      <c r="G19" s="23">
        <f>1/('2017 Reported Data'!$K18+'2017 Reported Data'!$AG18)*('2017 Reported Data'!G18+'2017 Reported Data'!AC18)</f>
        <v>7.6085436272452997E-2</v>
      </c>
      <c r="H19" s="24">
        <f t="shared" si="0"/>
        <v>0</v>
      </c>
    </row>
    <row r="20" spans="1:8" x14ac:dyDescent="0.25">
      <c r="A20" s="19" t="s">
        <v>63</v>
      </c>
      <c r="B20" s="3">
        <f>('2017 Reported Data'!W19+'2017 Reported Data'!AS19)/('2017 Reported Data'!$K19+'2017 Reported Data'!$AG19)</f>
        <v>0.36087618936413901</v>
      </c>
      <c r="C20" s="3">
        <f>1/('2017 Reported Data'!$K19+'2017 Reported Data'!$AG19)*('2017 Reported Data'!E19+'2017 Reported Data'!AA19)</f>
        <v>0.34411586460029903</v>
      </c>
      <c r="D20" s="3">
        <f>1/('2017 Reported Data'!$K19+'2017 Reported Data'!$AG19)*('2017 Reported Data'!J19+'2017 Reported Data'!AF19)</f>
        <v>0.20934164824780208</v>
      </c>
      <c r="E20" s="3">
        <f>1/('2017 Reported Data'!$K19+'2017 Reported Data'!$AG19)*('2017 Reported Data'!C19+'2017 Reported Data'!Y19)</f>
        <v>3.5240017002404959E-3</v>
      </c>
      <c r="F20" s="3">
        <f>1/('2017 Reported Data'!$K19+'2017 Reported Data'!$AG19)*('2017 Reported Data'!M19+'2017 Reported Data'!AI19)</f>
        <v>5.6108670057720772E-2</v>
      </c>
      <c r="G20" s="3">
        <f>1/('2017 Reported Data'!$K19+'2017 Reported Data'!$AG19)*('2017 Reported Data'!G19+'2017 Reported Data'!AC19)</f>
        <v>4.2083461274777774E-3</v>
      </c>
      <c r="H20" s="8">
        <f t="shared" si="0"/>
        <v>2.1825279902320749E-2</v>
      </c>
    </row>
    <row r="22" spans="1:8" x14ac:dyDescent="0.25">
      <c r="A22" t="s">
        <v>221</v>
      </c>
    </row>
    <row r="23" spans="1:8" x14ac:dyDescent="0.25">
      <c r="A23" s="22" t="s">
        <v>89</v>
      </c>
    </row>
    <row r="65" ht="30.75" customHeight="1" x14ac:dyDescent="0.25"/>
  </sheetData>
  <mergeCells count="1">
    <mergeCell ref="A1:H1"/>
  </mergeCells>
  <hyperlinks>
    <hyperlink ref="A23" r:id="rId1"/>
  </hyperlinks>
  <pageMargins left="0.7" right="0.7" top="0.75" bottom="0.75" header="0.3" footer="0.3"/>
  <pageSetup scale="95" orientation="portrait" cellComments="atEnd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0"/>
  <sheetViews>
    <sheetView zoomScaleNormal="100" workbookViewId="0">
      <pane xSplit="1" ySplit="1" topLeftCell="BW2" activePane="bottomRight" state="frozen"/>
      <selection pane="topRight" activeCell="B1" sqref="B1"/>
      <selection pane="bottomLeft" activeCell="A2" sqref="A2"/>
      <selection pane="bottomRight" activeCell="CG2" sqref="CG2"/>
    </sheetView>
  </sheetViews>
  <sheetFormatPr defaultRowHeight="15" x14ac:dyDescent="0.25"/>
  <cols>
    <col min="1" max="1" width="40.85546875" bestFit="1" customWidth="1"/>
    <col min="2" max="7" width="10.7109375" customWidth="1"/>
    <col min="8" max="8" width="14.5703125" customWidth="1"/>
    <col min="9" max="51" width="10.7109375" customWidth="1"/>
    <col min="52" max="53" width="11.85546875" customWidth="1"/>
    <col min="54" max="54" width="12.5703125" customWidth="1"/>
    <col min="55" max="86" width="10.7109375" customWidth="1"/>
  </cols>
  <sheetData>
    <row r="1" spans="1:89" ht="60" x14ac:dyDescent="0.25">
      <c r="A1" s="27" t="s">
        <v>104</v>
      </c>
      <c r="B1" s="27" t="s">
        <v>135</v>
      </c>
      <c r="C1" s="27" t="s">
        <v>136</v>
      </c>
      <c r="D1" s="27" t="s">
        <v>137</v>
      </c>
      <c r="E1" s="27" t="s">
        <v>138</v>
      </c>
      <c r="F1" s="27" t="s">
        <v>139</v>
      </c>
      <c r="G1" s="27" t="s">
        <v>140</v>
      </c>
      <c r="H1" s="27" t="s">
        <v>141</v>
      </c>
      <c r="I1" s="27" t="s">
        <v>142</v>
      </c>
      <c r="J1" s="27" t="s">
        <v>143</v>
      </c>
      <c r="K1" s="27" t="s">
        <v>144</v>
      </c>
      <c r="L1" s="27" t="s">
        <v>145</v>
      </c>
      <c r="M1" s="27" t="s">
        <v>146</v>
      </c>
      <c r="N1" s="27" t="s">
        <v>147</v>
      </c>
      <c r="O1" s="27" t="s">
        <v>148</v>
      </c>
      <c r="P1" s="27" t="s">
        <v>149</v>
      </c>
      <c r="Q1" s="27" t="s">
        <v>150</v>
      </c>
      <c r="R1" s="27" t="s">
        <v>151</v>
      </c>
      <c r="S1" s="27" t="s">
        <v>152</v>
      </c>
      <c r="T1" s="27" t="s">
        <v>153</v>
      </c>
      <c r="U1" s="27" t="s">
        <v>154</v>
      </c>
      <c r="V1" s="27" t="s">
        <v>155</v>
      </c>
      <c r="W1" s="27" t="s">
        <v>156</v>
      </c>
      <c r="X1" s="27" t="s">
        <v>157</v>
      </c>
      <c r="Y1" s="27" t="s">
        <v>158</v>
      </c>
      <c r="Z1" s="27" t="s">
        <v>159</v>
      </c>
      <c r="AA1" s="27" t="s">
        <v>160</v>
      </c>
      <c r="AB1" s="27" t="s">
        <v>161</v>
      </c>
      <c r="AC1" s="27" t="s">
        <v>162</v>
      </c>
      <c r="AD1" s="27" t="s">
        <v>163</v>
      </c>
      <c r="AE1" s="27" t="s">
        <v>164</v>
      </c>
      <c r="AF1" s="27" t="s">
        <v>165</v>
      </c>
      <c r="AG1" s="27" t="s">
        <v>166</v>
      </c>
      <c r="AH1" s="27" t="s">
        <v>167</v>
      </c>
      <c r="AI1" s="27" t="s">
        <v>168</v>
      </c>
      <c r="AJ1" s="27" t="s">
        <v>169</v>
      </c>
      <c r="AK1" s="27" t="s">
        <v>170</v>
      </c>
      <c r="AL1" s="27" t="s">
        <v>171</v>
      </c>
      <c r="AM1" s="27" t="s">
        <v>172</v>
      </c>
      <c r="AN1" s="27" t="s">
        <v>173</v>
      </c>
      <c r="AO1" s="27" t="s">
        <v>174</v>
      </c>
      <c r="AP1" s="27" t="s">
        <v>175</v>
      </c>
      <c r="AQ1" s="27" t="s">
        <v>176</v>
      </c>
      <c r="AR1" s="27" t="s">
        <v>177</v>
      </c>
      <c r="AS1" s="27" t="s">
        <v>178</v>
      </c>
      <c r="AT1" s="27" t="s">
        <v>16</v>
      </c>
      <c r="AU1" s="27" t="s">
        <v>17</v>
      </c>
      <c r="AV1" s="27" t="s">
        <v>18</v>
      </c>
      <c r="AX1" s="27" t="s">
        <v>105</v>
      </c>
      <c r="AY1" s="27" t="s">
        <v>19</v>
      </c>
      <c r="AZ1" s="27" t="s">
        <v>106</v>
      </c>
      <c r="BB1" s="27" t="s">
        <v>20</v>
      </c>
      <c r="BC1" s="27" t="s">
        <v>21</v>
      </c>
      <c r="BD1" s="27" t="s">
        <v>22</v>
      </c>
      <c r="BE1" s="27" t="s">
        <v>23</v>
      </c>
      <c r="BF1" s="27" t="s">
        <v>24</v>
      </c>
      <c r="BG1" s="27" t="s">
        <v>25</v>
      </c>
      <c r="BH1" s="27" t="s">
        <v>26</v>
      </c>
      <c r="BI1" s="27" t="s">
        <v>27</v>
      </c>
      <c r="BJ1" s="27" t="s">
        <v>107</v>
      </c>
      <c r="BK1" s="27" t="s">
        <v>28</v>
      </c>
      <c r="BL1" s="27" t="s">
        <v>29</v>
      </c>
      <c r="BM1" s="27" t="s">
        <v>30</v>
      </c>
      <c r="BN1" s="27" t="s">
        <v>31</v>
      </c>
      <c r="BO1" s="27" t="s">
        <v>32</v>
      </c>
      <c r="BP1" s="27" t="s">
        <v>179</v>
      </c>
      <c r="BR1" s="27" t="s">
        <v>108</v>
      </c>
      <c r="BS1" s="27" t="s">
        <v>180</v>
      </c>
      <c r="BT1" s="27" t="s">
        <v>33</v>
      </c>
      <c r="BU1" s="27" t="s">
        <v>34</v>
      </c>
      <c r="BV1" s="27" t="s">
        <v>35</v>
      </c>
      <c r="BW1" s="27" t="s">
        <v>36</v>
      </c>
      <c r="BX1" s="27" t="s">
        <v>37</v>
      </c>
      <c r="BY1" s="27" t="s">
        <v>38</v>
      </c>
      <c r="BZ1" s="27" t="s">
        <v>109</v>
      </c>
      <c r="CA1" s="27" t="s">
        <v>39</v>
      </c>
      <c r="CB1" s="27" t="s">
        <v>40</v>
      </c>
      <c r="CC1" s="27" t="s">
        <v>41</v>
      </c>
      <c r="CD1" s="27" t="s">
        <v>42</v>
      </c>
      <c r="CE1" s="27" t="s">
        <v>110</v>
      </c>
      <c r="CF1" s="27" t="s">
        <v>43</v>
      </c>
      <c r="CG1" s="27" t="s">
        <v>181</v>
      </c>
      <c r="CH1" s="27" t="s">
        <v>44</v>
      </c>
      <c r="CI1" s="27"/>
      <c r="CJ1" s="27"/>
      <c r="CK1" s="27"/>
    </row>
    <row r="2" spans="1:89" x14ac:dyDescent="0.25">
      <c r="A2" t="s">
        <v>1</v>
      </c>
      <c r="B2">
        <v>0</v>
      </c>
      <c r="C2">
        <v>0</v>
      </c>
      <c r="D2">
        <v>10339410</v>
      </c>
      <c r="E2">
        <v>37420.578000000001</v>
      </c>
      <c r="F2">
        <v>0</v>
      </c>
      <c r="G2">
        <v>177.99</v>
      </c>
      <c r="H2" s="34">
        <v>19636611</v>
      </c>
      <c r="I2">
        <v>0</v>
      </c>
      <c r="J2">
        <v>0</v>
      </c>
      <c r="K2">
        <v>76599.702000000005</v>
      </c>
      <c r="L2">
        <v>1384771</v>
      </c>
      <c r="M2">
        <v>5028</v>
      </c>
      <c r="N2">
        <v>0</v>
      </c>
      <c r="O2">
        <v>0</v>
      </c>
      <c r="P2">
        <v>0</v>
      </c>
      <c r="Q2">
        <v>0</v>
      </c>
      <c r="R2">
        <v>0</v>
      </c>
      <c r="S2">
        <v>384</v>
      </c>
      <c r="T2">
        <v>2073971</v>
      </c>
      <c r="U2">
        <v>0</v>
      </c>
      <c r="V2">
        <v>5838459</v>
      </c>
      <c r="W2">
        <v>33589.133999999998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 t="s">
        <v>90</v>
      </c>
      <c r="AU2" t="s">
        <v>45</v>
      </c>
      <c r="AV2" t="s">
        <v>46</v>
      </c>
      <c r="AX2">
        <v>383063</v>
      </c>
      <c r="AY2" s="32">
        <v>0</v>
      </c>
      <c r="AZ2">
        <v>82477</v>
      </c>
      <c r="BB2" s="3" t="s">
        <v>1</v>
      </c>
      <c r="BC2" s="3" t="s">
        <v>133</v>
      </c>
      <c r="BD2" t="s">
        <v>134</v>
      </c>
      <c r="BE2">
        <v>63086</v>
      </c>
      <c r="BF2">
        <v>0</v>
      </c>
      <c r="BG2">
        <v>0</v>
      </c>
      <c r="BH2">
        <v>0</v>
      </c>
      <c r="BI2">
        <v>0</v>
      </c>
      <c r="BJ2">
        <v>287143</v>
      </c>
      <c r="BK2">
        <v>0</v>
      </c>
      <c r="BL2">
        <v>0</v>
      </c>
      <c r="BM2">
        <v>192039</v>
      </c>
      <c r="BN2">
        <v>315430</v>
      </c>
      <c r="BO2">
        <v>0</v>
      </c>
      <c r="BP2">
        <v>-743216.20551524404</v>
      </c>
      <c r="BQ2">
        <f>BP2/CE2</f>
        <v>-1.5109951481589601E-3</v>
      </c>
      <c r="BR2">
        <v>5622780</v>
      </c>
      <c r="BS2">
        <v>5578322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491872000</v>
      </c>
      <c r="CF2">
        <v>42887</v>
      </c>
      <c r="CG2">
        <v>857698</v>
      </c>
      <c r="CH2" t="s">
        <v>1</v>
      </c>
    </row>
    <row r="3" spans="1:89" x14ac:dyDescent="0.25">
      <c r="A3" t="s">
        <v>111</v>
      </c>
      <c r="B3">
        <v>126044</v>
      </c>
      <c r="C3">
        <v>0</v>
      </c>
      <c r="D3">
        <v>364698</v>
      </c>
      <c r="E3">
        <v>2313</v>
      </c>
      <c r="F3">
        <v>0</v>
      </c>
      <c r="G3">
        <v>0</v>
      </c>
      <c r="H3" s="34">
        <v>1534606</v>
      </c>
      <c r="I3">
        <v>478144</v>
      </c>
      <c r="J3">
        <v>3033</v>
      </c>
      <c r="K3">
        <v>10209</v>
      </c>
      <c r="L3">
        <v>0</v>
      </c>
      <c r="M3">
        <v>1658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565720</v>
      </c>
      <c r="W3">
        <v>3205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 t="s">
        <v>91</v>
      </c>
      <c r="AU3" t="s">
        <v>92</v>
      </c>
      <c r="AV3" t="s">
        <v>93</v>
      </c>
      <c r="AX3">
        <v>96360</v>
      </c>
      <c r="AY3" s="32" t="s">
        <v>182</v>
      </c>
      <c r="AZ3">
        <v>17257</v>
      </c>
      <c r="BB3" s="3" t="s">
        <v>111</v>
      </c>
      <c r="BC3" s="3" t="s">
        <v>91</v>
      </c>
      <c r="BD3" t="s">
        <v>92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70814</v>
      </c>
      <c r="BO3">
        <v>0</v>
      </c>
      <c r="BP3">
        <v>3259216.3</v>
      </c>
      <c r="BQ3">
        <f>BP3/CE3</f>
        <v>2.5032450862467019E-2</v>
      </c>
      <c r="BR3">
        <v>1738021</v>
      </c>
      <c r="BS3">
        <v>1694077.8769999996</v>
      </c>
      <c r="BT3">
        <v>0</v>
      </c>
      <c r="BU3">
        <v>0</v>
      </c>
      <c r="BV3">
        <v>0</v>
      </c>
      <c r="BW3">
        <v>25440</v>
      </c>
      <c r="BX3">
        <v>0</v>
      </c>
      <c r="BY3">
        <v>25440</v>
      </c>
      <c r="BZ3">
        <v>0</v>
      </c>
      <c r="CA3">
        <v>0</v>
      </c>
      <c r="CB3">
        <v>0</v>
      </c>
      <c r="CC3">
        <v>32750</v>
      </c>
      <c r="CD3">
        <v>0</v>
      </c>
      <c r="CE3">
        <v>130199648.3647065</v>
      </c>
      <c r="CF3" t="s">
        <v>182</v>
      </c>
      <c r="CG3">
        <v>154444</v>
      </c>
      <c r="CH3" t="s">
        <v>111</v>
      </c>
    </row>
    <row r="4" spans="1:89" x14ac:dyDescent="0.25">
      <c r="A4" t="s">
        <v>96</v>
      </c>
      <c r="B4">
        <v>0.3</v>
      </c>
      <c r="C4">
        <v>2</v>
      </c>
      <c r="D4">
        <f>1000*1573.587</f>
        <v>1573587</v>
      </c>
      <c r="E4">
        <v>10373.379999999999</v>
      </c>
      <c r="F4">
        <v>0</v>
      </c>
      <c r="G4">
        <v>0</v>
      </c>
      <c r="H4" s="35">
        <f>3566.21524*1000</f>
        <v>3566215.24</v>
      </c>
      <c r="I4">
        <f>1000*658.459</f>
        <v>658459</v>
      </c>
      <c r="J4">
        <v>4512.17</v>
      </c>
      <c r="K4">
        <v>17901.471999999998</v>
      </c>
      <c r="L4">
        <f>1000*245.025</f>
        <v>245025</v>
      </c>
      <c r="M4">
        <v>613.20000000000005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f>1000*323.41924</f>
        <v>323419.24</v>
      </c>
      <c r="U4">
        <v>0</v>
      </c>
      <c r="V4">
        <f>1000*765.425</f>
        <v>765425</v>
      </c>
      <c r="W4">
        <v>2400.7220000000002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 t="s">
        <v>183</v>
      </c>
      <c r="AU4" t="s">
        <v>94</v>
      </c>
      <c r="AV4" t="s">
        <v>95</v>
      </c>
      <c r="AX4">
        <v>79628.399999999994</v>
      </c>
      <c r="AY4" s="32">
        <v>42887</v>
      </c>
      <c r="AZ4">
        <v>14541.599999999999</v>
      </c>
      <c r="BB4" s="3" t="s">
        <v>96</v>
      </c>
      <c r="BC4" s="3" t="s">
        <v>112</v>
      </c>
      <c r="BD4" t="s">
        <v>47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140546</v>
      </c>
      <c r="BN4">
        <v>0</v>
      </c>
      <c r="BO4">
        <v>0</v>
      </c>
      <c r="BP4">
        <v>167249.74</v>
      </c>
      <c r="BQ4">
        <f t="shared" ref="BQ4:BQ18" si="0">BP4/CE4</f>
        <v>3.1521167151571969E-3</v>
      </c>
      <c r="BR4">
        <v>1553800</v>
      </c>
      <c r="BS4">
        <v>1569441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53059501</v>
      </c>
      <c r="CF4">
        <v>42887</v>
      </c>
      <c r="CG4">
        <v>140546</v>
      </c>
      <c r="CH4" t="s">
        <v>96</v>
      </c>
    </row>
    <row r="5" spans="1:89" x14ac:dyDescent="0.25">
      <c r="A5" t="s">
        <v>97</v>
      </c>
      <c r="B5">
        <v>1900</v>
      </c>
      <c r="C5">
        <v>7.0430600000000005</v>
      </c>
      <c r="D5">
        <v>313482.81699999998</v>
      </c>
      <c r="E5">
        <v>1286.55889741376</v>
      </c>
      <c r="F5">
        <v>199951.8</v>
      </c>
      <c r="G5">
        <v>73.830910000000003</v>
      </c>
      <c r="H5" s="34">
        <v>1317840.1647999999</v>
      </c>
      <c r="I5">
        <v>6646.3689999999997</v>
      </c>
      <c r="J5">
        <v>0</v>
      </c>
      <c r="K5">
        <v>5199.8499094137624</v>
      </c>
      <c r="L5">
        <v>0</v>
      </c>
      <c r="M5">
        <v>596.47900000000004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795859.17879999999</v>
      </c>
      <c r="W5">
        <v>3235.938042000003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 t="s">
        <v>184</v>
      </c>
      <c r="AU5" t="s">
        <v>185</v>
      </c>
      <c r="AV5" t="s">
        <v>186</v>
      </c>
      <c r="AX5">
        <v>35478</v>
      </c>
      <c r="AY5" s="32">
        <v>42887</v>
      </c>
      <c r="AZ5">
        <v>7008</v>
      </c>
      <c r="BB5" t="s">
        <v>97</v>
      </c>
      <c r="BC5" s="3" t="s">
        <v>187</v>
      </c>
      <c r="BD5" t="s">
        <v>188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352754</v>
      </c>
      <c r="BQ5">
        <f t="shared" si="0"/>
        <v>6.188666666666667E-3</v>
      </c>
      <c r="BR5">
        <v>597742.11399999994</v>
      </c>
      <c r="BS5">
        <v>592002.31000000006</v>
      </c>
      <c r="BT5">
        <v>0</v>
      </c>
      <c r="BU5">
        <v>0</v>
      </c>
      <c r="BV5">
        <v>0</v>
      </c>
      <c r="BW5">
        <v>24496</v>
      </c>
      <c r="BX5">
        <v>0</v>
      </c>
      <c r="BY5">
        <v>9810</v>
      </c>
      <c r="BZ5">
        <v>0</v>
      </c>
      <c r="CA5">
        <v>14686</v>
      </c>
      <c r="CB5">
        <v>0</v>
      </c>
      <c r="CC5">
        <v>4547</v>
      </c>
      <c r="CD5">
        <v>0</v>
      </c>
      <c r="CE5">
        <v>57000000</v>
      </c>
      <c r="CF5">
        <v>42887</v>
      </c>
      <c r="CG5">
        <v>53539</v>
      </c>
      <c r="CH5" t="s">
        <v>97</v>
      </c>
    </row>
    <row r="6" spans="1:89" x14ac:dyDescent="0.25">
      <c r="A6" t="s">
        <v>48</v>
      </c>
      <c r="B6">
        <v>0</v>
      </c>
      <c r="C6">
        <v>0</v>
      </c>
      <c r="D6">
        <v>1609452</v>
      </c>
      <c r="E6">
        <v>10972</v>
      </c>
      <c r="F6">
        <v>0</v>
      </c>
      <c r="G6">
        <v>0</v>
      </c>
      <c r="H6" s="34">
        <v>7388686</v>
      </c>
      <c r="I6">
        <v>1436829</v>
      </c>
      <c r="J6">
        <v>6705</v>
      </c>
      <c r="K6">
        <v>44212</v>
      </c>
      <c r="L6">
        <v>443476</v>
      </c>
      <c r="M6">
        <v>4215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3898929</v>
      </c>
      <c r="W6">
        <v>22320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 t="s">
        <v>189</v>
      </c>
      <c r="AU6" t="s">
        <v>113</v>
      </c>
      <c r="AV6" t="s">
        <v>114</v>
      </c>
      <c r="AX6">
        <v>342866</v>
      </c>
      <c r="AY6" s="32">
        <v>42857</v>
      </c>
      <c r="AZ6">
        <v>67802</v>
      </c>
      <c r="BB6" t="s">
        <v>48</v>
      </c>
      <c r="BC6" s="3" t="s">
        <v>190</v>
      </c>
      <c r="BD6" t="s">
        <v>191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14599451</v>
      </c>
      <c r="BQ6">
        <f t="shared" si="0"/>
        <v>3.9999962635342216E-2</v>
      </c>
      <c r="BR6">
        <v>4310118</v>
      </c>
      <c r="BS6">
        <v>4328429.5819999995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175300</v>
      </c>
      <c r="CD6">
        <v>0</v>
      </c>
      <c r="CE6">
        <v>364986615.94</v>
      </c>
      <c r="CF6">
        <v>42886</v>
      </c>
      <c r="CG6">
        <v>175300</v>
      </c>
      <c r="CH6" t="s">
        <v>48</v>
      </c>
    </row>
    <row r="7" spans="1:89" x14ac:dyDescent="0.25">
      <c r="A7" t="s">
        <v>49</v>
      </c>
      <c r="B7">
        <v>0</v>
      </c>
      <c r="C7">
        <v>0</v>
      </c>
      <c r="D7">
        <v>538569.28</v>
      </c>
      <c r="E7">
        <v>3867</v>
      </c>
      <c r="F7">
        <v>0</v>
      </c>
      <c r="G7">
        <v>0</v>
      </c>
      <c r="H7" s="34">
        <v>7045169</v>
      </c>
      <c r="I7">
        <v>5483250.2699999996</v>
      </c>
      <c r="J7">
        <v>104125</v>
      </c>
      <c r="K7">
        <v>115530.715</v>
      </c>
      <c r="L7">
        <v>129264</v>
      </c>
      <c r="M7">
        <v>4508.7150000000001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894085.45</v>
      </c>
      <c r="W7">
        <v>3030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 t="s">
        <v>192</v>
      </c>
      <c r="AU7" t="s">
        <v>50</v>
      </c>
      <c r="AV7" t="s">
        <v>193</v>
      </c>
      <c r="AX7">
        <v>208225.19999999998</v>
      </c>
      <c r="AY7" s="32">
        <v>42887</v>
      </c>
      <c r="AZ7">
        <v>41259.599999999999</v>
      </c>
      <c r="BB7" t="s">
        <v>49</v>
      </c>
      <c r="BC7" s="3" t="s">
        <v>192</v>
      </c>
      <c r="BD7" t="s">
        <v>50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2785</v>
      </c>
      <c r="BN7">
        <v>10398</v>
      </c>
      <c r="BO7">
        <v>0</v>
      </c>
      <c r="BP7">
        <v>12435059.700000003</v>
      </c>
      <c r="BQ7">
        <f t="shared" si="0"/>
        <v>4.592305936527185E-2</v>
      </c>
      <c r="BR7">
        <v>4967514.125</v>
      </c>
      <c r="BS7">
        <v>5084694.017</v>
      </c>
      <c r="BT7">
        <v>16135.2</v>
      </c>
      <c r="BU7">
        <v>0</v>
      </c>
      <c r="BV7">
        <v>0</v>
      </c>
      <c r="BW7">
        <v>0</v>
      </c>
      <c r="BX7">
        <v>0</v>
      </c>
      <c r="BY7">
        <v>0</v>
      </c>
      <c r="BZ7">
        <v>188324</v>
      </c>
      <c r="CA7">
        <v>0</v>
      </c>
      <c r="CB7">
        <v>0</v>
      </c>
      <c r="CC7">
        <v>234708</v>
      </c>
      <c r="CD7">
        <v>0</v>
      </c>
      <c r="CE7">
        <v>270780298</v>
      </c>
      <c r="CF7">
        <v>42887</v>
      </c>
      <c r="CG7">
        <v>452350.2</v>
      </c>
      <c r="CH7" t="s">
        <v>49</v>
      </c>
    </row>
    <row r="8" spans="1:89" x14ac:dyDescent="0.25">
      <c r="A8" t="s">
        <v>115</v>
      </c>
      <c r="B8">
        <v>321011</v>
      </c>
      <c r="C8">
        <v>1838.3</v>
      </c>
      <c r="D8">
        <v>437065</v>
      </c>
      <c r="E8">
        <v>2289.9299999999998</v>
      </c>
      <c r="F8">
        <v>0</v>
      </c>
      <c r="G8">
        <v>0</v>
      </c>
      <c r="H8" s="34">
        <v>2624971</v>
      </c>
      <c r="I8">
        <v>1035608</v>
      </c>
      <c r="J8">
        <v>15279.02</v>
      </c>
      <c r="K8">
        <v>22012.94</v>
      </c>
      <c r="L8">
        <v>549747</v>
      </c>
      <c r="M8">
        <v>1356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281540</v>
      </c>
      <c r="W8">
        <v>1249.69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 t="s">
        <v>194</v>
      </c>
      <c r="AU8" t="s">
        <v>195</v>
      </c>
      <c r="AV8" t="s">
        <v>196</v>
      </c>
      <c r="AX8">
        <v>175550</v>
      </c>
      <c r="AY8" s="32">
        <v>42857</v>
      </c>
      <c r="AZ8">
        <v>26718</v>
      </c>
      <c r="BB8" t="s">
        <v>115</v>
      </c>
      <c r="BC8" t="s">
        <v>197</v>
      </c>
      <c r="BD8" t="s">
        <v>198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f>+REN_ERR_Water</f>
        <v>837674</v>
      </c>
      <c r="BN8">
        <v>0</v>
      </c>
      <c r="BO8">
        <v>0</v>
      </c>
      <c r="BP8">
        <f>+REN_Expenditure_Amount_2017</f>
        <v>319087.85368193244</v>
      </c>
      <c r="BQ8">
        <f t="shared" si="0"/>
        <v>1.6410016800564289E-3</v>
      </c>
      <c r="BR8">
        <v>4539788.8210000005</v>
      </c>
      <c r="BS8">
        <v>4355188.8684400003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30924</v>
      </c>
      <c r="CD8">
        <v>0</v>
      </c>
      <c r="CE8">
        <v>194447000</v>
      </c>
      <c r="CF8">
        <v>42857</v>
      </c>
      <c r="CG8">
        <f>+REN_Total_2017</f>
        <v>868598</v>
      </c>
      <c r="CH8" t="s">
        <v>115</v>
      </c>
    </row>
    <row r="9" spans="1:89" x14ac:dyDescent="0.25">
      <c r="A9" t="s">
        <v>51</v>
      </c>
      <c r="B9">
        <v>1428</v>
      </c>
      <c r="C9">
        <v>2</v>
      </c>
      <c r="D9">
        <v>309239</v>
      </c>
      <c r="E9">
        <v>2033</v>
      </c>
      <c r="F9">
        <v>0</v>
      </c>
      <c r="G9">
        <v>0</v>
      </c>
      <c r="H9" s="34">
        <v>1107813</v>
      </c>
      <c r="I9">
        <v>247908</v>
      </c>
      <c r="J9">
        <v>2982</v>
      </c>
      <c r="K9">
        <v>7927</v>
      </c>
      <c r="L9">
        <v>0</v>
      </c>
      <c r="M9">
        <v>1077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549238</v>
      </c>
      <c r="W9">
        <v>1833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 t="s">
        <v>199</v>
      </c>
      <c r="AU9" t="s">
        <v>52</v>
      </c>
      <c r="AV9" t="s">
        <v>200</v>
      </c>
      <c r="AX9">
        <v>36529.199999999997</v>
      </c>
      <c r="AY9" s="32">
        <v>42879</v>
      </c>
      <c r="AZ9">
        <v>6482.4</v>
      </c>
      <c r="BB9" t="s">
        <v>51</v>
      </c>
      <c r="BC9" t="s">
        <v>201</v>
      </c>
      <c r="BD9" t="s">
        <v>52</v>
      </c>
      <c r="BE9">
        <v>0</v>
      </c>
      <c r="BF9">
        <v>0</v>
      </c>
      <c r="BG9">
        <v>96360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154703</v>
      </c>
      <c r="BQ9">
        <f t="shared" si="0"/>
        <v>1.6863567987093679E-3</v>
      </c>
      <c r="BR9">
        <v>886906</v>
      </c>
      <c r="BS9">
        <v>896944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91738000</v>
      </c>
      <c r="CF9">
        <v>42879</v>
      </c>
      <c r="CG9">
        <v>96360</v>
      </c>
      <c r="CH9" t="s">
        <v>51</v>
      </c>
    </row>
    <row r="10" spans="1:89" x14ac:dyDescent="0.25">
      <c r="A10" t="s">
        <v>53</v>
      </c>
      <c r="B10">
        <v>134296</v>
      </c>
      <c r="C10">
        <v>793</v>
      </c>
      <c r="D10">
        <v>169975</v>
      </c>
      <c r="E10">
        <v>3275</v>
      </c>
      <c r="F10">
        <v>0</v>
      </c>
      <c r="G10">
        <v>0</v>
      </c>
      <c r="H10" s="34">
        <v>1227551</v>
      </c>
      <c r="I10">
        <v>0</v>
      </c>
      <c r="J10">
        <v>0</v>
      </c>
      <c r="K10">
        <v>7307</v>
      </c>
      <c r="L10">
        <v>0</v>
      </c>
      <c r="M10">
        <v>634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328889</v>
      </c>
      <c r="U10">
        <v>0</v>
      </c>
      <c r="V10">
        <v>594391</v>
      </c>
      <c r="W10">
        <v>2605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 t="s">
        <v>202</v>
      </c>
      <c r="AU10" t="s">
        <v>54</v>
      </c>
      <c r="AV10" t="s">
        <v>98</v>
      </c>
      <c r="AX10">
        <v>40471.200000000004</v>
      </c>
      <c r="AY10" s="32">
        <v>0</v>
      </c>
      <c r="AZ10">
        <v>6657.6</v>
      </c>
      <c r="BB10" t="s">
        <v>53</v>
      </c>
      <c r="BC10" t="s">
        <v>202</v>
      </c>
      <c r="BD10" t="s">
        <v>54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739931.45</v>
      </c>
      <c r="BQ10">
        <f t="shared" si="0"/>
        <v>1.1044522475088263E-2</v>
      </c>
      <c r="BR10">
        <v>822584</v>
      </c>
      <c r="BS10">
        <v>856766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75571</v>
      </c>
      <c r="CD10">
        <v>0</v>
      </c>
      <c r="CE10">
        <v>66995332</v>
      </c>
      <c r="CF10">
        <v>0</v>
      </c>
      <c r="CG10">
        <v>75571</v>
      </c>
      <c r="CH10" t="s">
        <v>53</v>
      </c>
    </row>
    <row r="11" spans="1:89" x14ac:dyDescent="0.25">
      <c r="A11" t="s">
        <v>116</v>
      </c>
      <c r="B11">
        <v>0</v>
      </c>
      <c r="C11">
        <v>0</v>
      </c>
      <c r="D11">
        <v>116731</v>
      </c>
      <c r="E11">
        <v>634.78</v>
      </c>
      <c r="F11">
        <v>0</v>
      </c>
      <c r="G11">
        <v>0</v>
      </c>
      <c r="H11" s="34">
        <v>902980.96</v>
      </c>
      <c r="I11">
        <v>266508</v>
      </c>
      <c r="J11">
        <v>1712.17</v>
      </c>
      <c r="K11">
        <v>4465.08</v>
      </c>
      <c r="L11">
        <v>0</v>
      </c>
      <c r="M11">
        <v>899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277956.96000000002</v>
      </c>
      <c r="U11">
        <v>0</v>
      </c>
      <c r="V11">
        <v>241785</v>
      </c>
      <c r="W11">
        <v>1219.1300000000001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 t="s">
        <v>203</v>
      </c>
      <c r="AU11" t="s">
        <v>99</v>
      </c>
      <c r="AV11" t="s">
        <v>100</v>
      </c>
      <c r="AX11">
        <v>29872</v>
      </c>
      <c r="AY11" s="32" t="s">
        <v>204</v>
      </c>
      <c r="AZ11">
        <v>5519</v>
      </c>
      <c r="BB11" t="s">
        <v>116</v>
      </c>
      <c r="BC11" t="s">
        <v>205</v>
      </c>
      <c r="BD11" t="s">
        <v>117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1084678</v>
      </c>
      <c r="BQ11">
        <f t="shared" si="0"/>
        <v>1.4535817391909492E-2</v>
      </c>
      <c r="BR11">
        <v>884450</v>
      </c>
      <c r="BS11">
        <v>902458</v>
      </c>
      <c r="BT11">
        <v>0</v>
      </c>
      <c r="BU11">
        <v>0</v>
      </c>
      <c r="BV11">
        <v>31680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48731</v>
      </c>
      <c r="CD11">
        <v>0</v>
      </c>
      <c r="CE11">
        <v>74621053</v>
      </c>
      <c r="CF11">
        <v>42874</v>
      </c>
      <c r="CG11">
        <v>80411</v>
      </c>
      <c r="CH11" t="s">
        <v>116</v>
      </c>
    </row>
    <row r="12" spans="1:89" x14ac:dyDescent="0.25">
      <c r="A12" t="s">
        <v>101</v>
      </c>
      <c r="B12">
        <v>0</v>
      </c>
      <c r="C12">
        <v>0</v>
      </c>
      <c r="D12">
        <v>103618.02</v>
      </c>
      <c r="E12">
        <v>672.21</v>
      </c>
      <c r="F12">
        <v>0</v>
      </c>
      <c r="G12">
        <v>0</v>
      </c>
      <c r="H12" s="34">
        <v>891211.98</v>
      </c>
      <c r="I12">
        <v>537885.93999999994</v>
      </c>
      <c r="J12">
        <v>3255.4</v>
      </c>
      <c r="K12">
        <v>5398.7000000000007</v>
      </c>
      <c r="L12">
        <v>0</v>
      </c>
      <c r="M12">
        <v>586.6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249708.02</v>
      </c>
      <c r="W12">
        <v>884.49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 t="s">
        <v>118</v>
      </c>
      <c r="AU12" t="s">
        <v>119</v>
      </c>
      <c r="AV12" t="s">
        <v>120</v>
      </c>
      <c r="AX12">
        <v>18294</v>
      </c>
      <c r="AY12" s="32">
        <v>42874</v>
      </c>
      <c r="AZ12">
        <v>3428</v>
      </c>
      <c r="BB12" t="s">
        <v>101</v>
      </c>
      <c r="BC12" t="s">
        <v>118</v>
      </c>
      <c r="BD12" t="s">
        <v>119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21251</v>
      </c>
      <c r="BO12">
        <v>0</v>
      </c>
      <c r="BP12">
        <v>1252433.4100000001</v>
      </c>
      <c r="BQ12">
        <f t="shared" si="0"/>
        <v>2.6327131060189295E-2</v>
      </c>
      <c r="BR12">
        <v>610438.69999999995</v>
      </c>
      <c r="BS12">
        <v>598188.9</v>
      </c>
      <c r="BT12">
        <v>0</v>
      </c>
      <c r="BU12">
        <v>0</v>
      </c>
      <c r="BV12">
        <v>0</v>
      </c>
      <c r="BW12">
        <v>201</v>
      </c>
      <c r="BX12">
        <v>0</v>
      </c>
      <c r="BY12">
        <v>0</v>
      </c>
      <c r="BZ12">
        <v>0</v>
      </c>
      <c r="CA12">
        <v>0</v>
      </c>
      <c r="CB12">
        <v>201</v>
      </c>
      <c r="CC12">
        <v>32735</v>
      </c>
      <c r="CD12">
        <v>0</v>
      </c>
      <c r="CE12">
        <v>47571967</v>
      </c>
      <c r="CF12">
        <v>42874</v>
      </c>
      <c r="CG12">
        <v>54388</v>
      </c>
      <c r="CH12" t="s">
        <v>101</v>
      </c>
    </row>
    <row r="13" spans="1:89" x14ac:dyDescent="0.25">
      <c r="A13" t="s">
        <v>55</v>
      </c>
      <c r="B13">
        <v>164246</v>
      </c>
      <c r="C13">
        <v>757.28599999999994</v>
      </c>
      <c r="D13">
        <v>4046759</v>
      </c>
      <c r="E13">
        <v>18229.052</v>
      </c>
      <c r="F13">
        <v>0</v>
      </c>
      <c r="G13">
        <v>0</v>
      </c>
      <c r="H13" s="34">
        <v>12004399</v>
      </c>
      <c r="I13">
        <v>2563171</v>
      </c>
      <c r="J13">
        <v>14288.308000000001</v>
      </c>
      <c r="K13">
        <v>55269.654999999999</v>
      </c>
      <c r="L13">
        <v>869953</v>
      </c>
      <c r="M13">
        <v>3903.7559999999999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538499</v>
      </c>
      <c r="U13">
        <v>62794</v>
      </c>
      <c r="V13">
        <v>3574750</v>
      </c>
      <c r="W13">
        <v>18091.253000000001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 t="s">
        <v>206</v>
      </c>
      <c r="AU13" t="s">
        <v>207</v>
      </c>
      <c r="AV13" t="s">
        <v>208</v>
      </c>
      <c r="AX13">
        <v>457530</v>
      </c>
      <c r="AY13" s="32">
        <v>42873</v>
      </c>
      <c r="AZ13">
        <v>95254</v>
      </c>
      <c r="BB13" t="s">
        <v>55</v>
      </c>
      <c r="BC13" t="s">
        <v>121</v>
      </c>
      <c r="BD13" t="s">
        <v>122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33578</v>
      </c>
      <c r="BN13">
        <v>177806</v>
      </c>
      <c r="BO13">
        <v>0</v>
      </c>
      <c r="BP13">
        <v>2035312</v>
      </c>
      <c r="BQ13">
        <f t="shared" si="0"/>
        <v>6.0044145890336105E-3</v>
      </c>
      <c r="BR13">
        <v>4108270</v>
      </c>
      <c r="BS13">
        <v>3981653.9279999998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44555</v>
      </c>
      <c r="CC13">
        <v>108108</v>
      </c>
      <c r="CD13">
        <v>0</v>
      </c>
      <c r="CE13">
        <v>338969265</v>
      </c>
      <c r="CF13">
        <v>42887</v>
      </c>
      <c r="CG13">
        <v>364047</v>
      </c>
      <c r="CH13" t="s">
        <v>55</v>
      </c>
    </row>
    <row r="14" spans="1:89" x14ac:dyDescent="0.25">
      <c r="A14" t="s">
        <v>56</v>
      </c>
      <c r="B14">
        <v>0</v>
      </c>
      <c r="C14">
        <v>0</v>
      </c>
      <c r="D14">
        <v>285111</v>
      </c>
      <c r="E14">
        <v>710.43</v>
      </c>
      <c r="F14">
        <v>0</v>
      </c>
      <c r="G14">
        <v>0</v>
      </c>
      <c r="H14" s="34">
        <v>1060383</v>
      </c>
      <c r="I14">
        <v>0</v>
      </c>
      <c r="J14">
        <v>0</v>
      </c>
      <c r="K14">
        <v>3899.9319999999998</v>
      </c>
      <c r="L14">
        <v>0</v>
      </c>
      <c r="M14">
        <v>567.50199999999995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555553</v>
      </c>
      <c r="W14">
        <v>2622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 t="s">
        <v>57</v>
      </c>
      <c r="AU14" t="s">
        <v>58</v>
      </c>
      <c r="AV14" t="s">
        <v>59</v>
      </c>
      <c r="AX14">
        <v>23835.083999999999</v>
      </c>
      <c r="AY14" s="32">
        <v>42886</v>
      </c>
      <c r="AZ14">
        <v>4767</v>
      </c>
      <c r="BB14" t="s">
        <v>56</v>
      </c>
      <c r="BC14" t="s">
        <v>57</v>
      </c>
      <c r="BD14" t="s">
        <v>58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220174.5</v>
      </c>
      <c r="BQ14">
        <f t="shared" si="0"/>
        <v>3.9517340115404354E-3</v>
      </c>
      <c r="BR14">
        <v>553560</v>
      </c>
      <c r="BS14">
        <v>564782</v>
      </c>
      <c r="BT14">
        <v>8387.6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41938</v>
      </c>
      <c r="CD14">
        <v>0</v>
      </c>
      <c r="CE14">
        <v>55715921</v>
      </c>
      <c r="CF14">
        <v>42886</v>
      </c>
      <c r="CG14">
        <v>50325.599999999999</v>
      </c>
      <c r="CH14" t="s">
        <v>56</v>
      </c>
    </row>
    <row r="15" spans="1:89" x14ac:dyDescent="0.25">
      <c r="A15" t="s">
        <v>14</v>
      </c>
      <c r="B15">
        <v>0</v>
      </c>
      <c r="C15">
        <v>0</v>
      </c>
      <c r="D15">
        <v>35107732.800000004</v>
      </c>
      <c r="E15">
        <v>128878.2</v>
      </c>
      <c r="F15">
        <v>0</v>
      </c>
      <c r="G15">
        <v>0</v>
      </c>
      <c r="H15" s="34">
        <v>100933894.00000001</v>
      </c>
      <c r="I15">
        <v>3900859.2</v>
      </c>
      <c r="J15">
        <v>14319.800000000001</v>
      </c>
      <c r="K15">
        <v>314525</v>
      </c>
      <c r="L15">
        <v>4028530</v>
      </c>
      <c r="M15">
        <v>8760</v>
      </c>
      <c r="N15">
        <v>933949</v>
      </c>
      <c r="O15">
        <v>17348</v>
      </c>
      <c r="P15">
        <v>0</v>
      </c>
      <c r="Q15">
        <v>0</v>
      </c>
      <c r="R15">
        <v>0</v>
      </c>
      <c r="S15">
        <v>3323</v>
      </c>
      <c r="T15">
        <v>6315736</v>
      </c>
      <c r="U15">
        <v>2500313</v>
      </c>
      <c r="V15">
        <v>46327483</v>
      </c>
      <c r="W15">
        <v>141896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 t="s">
        <v>209</v>
      </c>
      <c r="AU15" t="s">
        <v>210</v>
      </c>
      <c r="AV15" t="s">
        <v>123</v>
      </c>
      <c r="AX15">
        <v>2770663</v>
      </c>
      <c r="AY15" s="32">
        <v>42887</v>
      </c>
      <c r="AZ15">
        <v>605194</v>
      </c>
      <c r="BB15" t="s">
        <v>14</v>
      </c>
      <c r="BC15" t="s">
        <v>124</v>
      </c>
      <c r="BD15" t="s">
        <v>102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114285.95800000001</v>
      </c>
      <c r="BN15">
        <v>0</v>
      </c>
      <c r="BO15">
        <v>0</v>
      </c>
      <c r="BP15">
        <v>27810000</v>
      </c>
      <c r="BQ15">
        <f t="shared" si="0"/>
        <v>1.3879980232173079E-2</v>
      </c>
      <c r="BR15">
        <v>20509764</v>
      </c>
      <c r="BS15">
        <v>20448423</v>
      </c>
      <c r="BT15">
        <v>234569.60000000003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1570906</v>
      </c>
      <c r="CD15">
        <v>0</v>
      </c>
      <c r="CE15">
        <v>2003605159</v>
      </c>
      <c r="CF15">
        <v>42887</v>
      </c>
      <c r="CG15">
        <v>1919761.5580000002</v>
      </c>
      <c r="CH15" t="s">
        <v>14</v>
      </c>
    </row>
    <row r="16" spans="1:89" x14ac:dyDescent="0.25">
      <c r="A16" t="s">
        <v>12</v>
      </c>
      <c r="B16">
        <v>0</v>
      </c>
      <c r="C16">
        <v>0</v>
      </c>
      <c r="D16">
        <v>23449671.144679345</v>
      </c>
      <c r="E16">
        <v>62025.609946079989</v>
      </c>
      <c r="F16">
        <v>0</v>
      </c>
      <c r="G16">
        <v>0</v>
      </c>
      <c r="H16" s="34">
        <v>44872775.763799988</v>
      </c>
      <c r="I16">
        <v>3793095.7939250851</v>
      </c>
      <c r="J16">
        <v>6799.3929499199994</v>
      </c>
      <c r="K16">
        <v>134845.76629719997</v>
      </c>
      <c r="L16">
        <v>616782</v>
      </c>
      <c r="M16">
        <v>8196.5553588000002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17013226.825195558</v>
      </c>
      <c r="W16">
        <v>57824.208042399987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 t="s">
        <v>211</v>
      </c>
      <c r="AU16" t="s">
        <v>212</v>
      </c>
      <c r="AV16" t="s">
        <v>213</v>
      </c>
      <c r="AX16">
        <v>1122156</v>
      </c>
      <c r="AY16" s="32">
        <v>42853</v>
      </c>
      <c r="AZ16">
        <v>224431</v>
      </c>
      <c r="BB16" t="s">
        <v>12</v>
      </c>
      <c r="BC16" t="s">
        <v>214</v>
      </c>
      <c r="BD16" t="s">
        <v>215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3203</v>
      </c>
      <c r="BN16">
        <v>0</v>
      </c>
      <c r="BO16">
        <v>0</v>
      </c>
      <c r="BP16">
        <v>29656916.106664337</v>
      </c>
      <c r="BQ16">
        <f t="shared" si="0"/>
        <v>3.4871398226201632E-2</v>
      </c>
      <c r="BR16">
        <v>9157494</v>
      </c>
      <c r="BS16">
        <v>9180438</v>
      </c>
      <c r="BT16">
        <v>0</v>
      </c>
      <c r="BU16">
        <v>0</v>
      </c>
      <c r="BV16">
        <v>20000</v>
      </c>
      <c r="BW16">
        <v>17500</v>
      </c>
      <c r="BX16">
        <v>75000</v>
      </c>
      <c r="BY16">
        <v>90400</v>
      </c>
      <c r="BZ16">
        <v>0</v>
      </c>
      <c r="CA16">
        <v>17500</v>
      </c>
      <c r="CB16">
        <v>0</v>
      </c>
      <c r="CC16">
        <v>601605</v>
      </c>
      <c r="CD16">
        <v>0</v>
      </c>
      <c r="CE16">
        <v>850465356</v>
      </c>
      <c r="CF16">
        <v>42872</v>
      </c>
      <c r="CG16">
        <v>825208</v>
      </c>
      <c r="CH16" t="s">
        <v>12</v>
      </c>
    </row>
    <row r="17" spans="1:86" x14ac:dyDescent="0.25">
      <c r="A17" t="s">
        <v>60</v>
      </c>
      <c r="B17">
        <v>0</v>
      </c>
      <c r="C17">
        <v>0</v>
      </c>
      <c r="D17">
        <v>3943678</v>
      </c>
      <c r="E17">
        <v>28638.249837465599</v>
      </c>
      <c r="F17">
        <v>0</v>
      </c>
      <c r="G17">
        <v>0</v>
      </c>
      <c r="H17" s="34">
        <v>20505342.260000002</v>
      </c>
      <c r="I17">
        <v>2079005.38</v>
      </c>
      <c r="J17">
        <v>14514.089640960001</v>
      </c>
      <c r="K17">
        <v>89354.174106131832</v>
      </c>
      <c r="L17">
        <v>220724</v>
      </c>
      <c r="M17">
        <v>7297.6186385999999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6529040.8800000018</v>
      </c>
      <c r="W17">
        <v>38904.215989106226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 t="s">
        <v>216</v>
      </c>
      <c r="AU17" t="s">
        <v>125</v>
      </c>
      <c r="AV17" t="s">
        <v>126</v>
      </c>
      <c r="AX17">
        <v>623449</v>
      </c>
      <c r="AY17" s="32">
        <v>42886</v>
      </c>
      <c r="AZ17">
        <v>122990</v>
      </c>
      <c r="BB17" t="s">
        <v>60</v>
      </c>
      <c r="BC17" t="s">
        <v>61</v>
      </c>
      <c r="BD17" t="s">
        <v>127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1233</v>
      </c>
      <c r="BN17">
        <v>457360</v>
      </c>
      <c r="BO17">
        <v>0</v>
      </c>
      <c r="BP17">
        <v>32998843.771762539</v>
      </c>
      <c r="BQ17">
        <f t="shared" si="0"/>
        <v>5.3234588485055946E-2</v>
      </c>
      <c r="BR17">
        <v>6474983</v>
      </c>
      <c r="BS17">
        <v>6285744</v>
      </c>
      <c r="BT17">
        <v>0</v>
      </c>
      <c r="BU17">
        <v>0</v>
      </c>
      <c r="BV17">
        <v>39312</v>
      </c>
      <c r="BW17">
        <v>44812</v>
      </c>
      <c r="BX17">
        <v>0</v>
      </c>
      <c r="BY17">
        <v>0</v>
      </c>
      <c r="BZ17">
        <v>0</v>
      </c>
      <c r="CA17">
        <v>0</v>
      </c>
      <c r="CB17">
        <v>5500</v>
      </c>
      <c r="CC17">
        <v>503127</v>
      </c>
      <c r="CD17">
        <v>0</v>
      </c>
      <c r="CE17">
        <v>619876000</v>
      </c>
      <c r="CF17">
        <v>42886</v>
      </c>
      <c r="CG17">
        <v>1051344</v>
      </c>
      <c r="CH17" t="s">
        <v>60</v>
      </c>
    </row>
    <row r="18" spans="1:86" x14ac:dyDescent="0.25">
      <c r="A18" t="s">
        <v>62</v>
      </c>
      <c r="B18">
        <v>0</v>
      </c>
      <c r="C18">
        <v>0</v>
      </c>
      <c r="D18">
        <v>4737573</v>
      </c>
      <c r="E18">
        <v>18352</v>
      </c>
      <c r="F18">
        <v>138717</v>
      </c>
      <c r="G18">
        <v>3808</v>
      </c>
      <c r="H18" s="34">
        <v>15794432</v>
      </c>
      <c r="I18">
        <v>2229446</v>
      </c>
      <c r="J18">
        <v>10428</v>
      </c>
      <c r="K18">
        <v>50049</v>
      </c>
      <c r="L18">
        <v>437977</v>
      </c>
      <c r="M18">
        <v>4231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1648068</v>
      </c>
      <c r="U18">
        <v>0</v>
      </c>
      <c r="V18">
        <v>6602651</v>
      </c>
      <c r="W18">
        <v>13230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 t="s">
        <v>217</v>
      </c>
      <c r="AU18" t="s">
        <v>103</v>
      </c>
      <c r="AV18" t="s">
        <v>218</v>
      </c>
      <c r="AX18">
        <v>409968</v>
      </c>
      <c r="AY18" s="32">
        <v>42852</v>
      </c>
      <c r="AZ18">
        <v>81993</v>
      </c>
      <c r="BB18" t="s">
        <v>62</v>
      </c>
      <c r="BC18" t="s">
        <v>128</v>
      </c>
      <c r="BD18" t="s">
        <v>129</v>
      </c>
      <c r="BE18">
        <v>11305.6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64140</v>
      </c>
      <c r="BN18">
        <v>0</v>
      </c>
      <c r="BO18">
        <v>0</v>
      </c>
      <c r="BP18">
        <v>2363930</v>
      </c>
      <c r="BQ18">
        <f t="shared" si="0"/>
        <v>7.3020548828750158E-3</v>
      </c>
      <c r="BR18">
        <v>4587347</v>
      </c>
      <c r="BS18">
        <v>4627628</v>
      </c>
      <c r="BT18">
        <v>0</v>
      </c>
      <c r="BU18">
        <v>0</v>
      </c>
      <c r="BV18">
        <v>10804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328424</v>
      </c>
      <c r="CD18">
        <v>0</v>
      </c>
      <c r="CE18">
        <v>323734899</v>
      </c>
      <c r="CF18">
        <v>42852</v>
      </c>
      <c r="CG18">
        <v>414673.6</v>
      </c>
      <c r="CH18" t="s">
        <v>62</v>
      </c>
    </row>
    <row r="19" spans="1:86" x14ac:dyDescent="0.25">
      <c r="B19">
        <f t="shared" ref="B19:J19" si="1">SUM(B2:B18)</f>
        <v>748925.3</v>
      </c>
      <c r="C19">
        <f t="shared" si="1"/>
        <v>3399.6290600000002</v>
      </c>
      <c r="D19">
        <f t="shared" si="1"/>
        <v>87446352.061679348</v>
      </c>
      <c r="E19">
        <f t="shared" si="1"/>
        <v>331970.97868095932</v>
      </c>
      <c r="F19">
        <f t="shared" si="1"/>
        <v>338668.79999999999</v>
      </c>
      <c r="G19">
        <f t="shared" si="1"/>
        <v>4059.8209099999999</v>
      </c>
      <c r="H19" s="34">
        <f t="shared" si="1"/>
        <v>242414881.36859998</v>
      </c>
      <c r="I19">
        <f t="shared" si="1"/>
        <v>24716815.952925082</v>
      </c>
      <c r="J19">
        <f t="shared" si="1"/>
        <v>201953.35059088</v>
      </c>
      <c r="K19">
        <f>SUM(K2:K18)</f>
        <v>964706.9863127456</v>
      </c>
      <c r="L19">
        <f t="shared" ref="L19:X19" si="2">SUM(L2:L18)</f>
        <v>8926249</v>
      </c>
      <c r="M19">
        <f t="shared" si="2"/>
        <v>54128.425997399994</v>
      </c>
      <c r="N19">
        <f t="shared" si="2"/>
        <v>933949</v>
      </c>
      <c r="O19">
        <f t="shared" si="2"/>
        <v>17348</v>
      </c>
      <c r="P19">
        <f t="shared" si="2"/>
        <v>0</v>
      </c>
      <c r="Q19">
        <f t="shared" si="2"/>
        <v>0</v>
      </c>
      <c r="R19">
        <f t="shared" si="2"/>
        <v>0</v>
      </c>
      <c r="S19">
        <f t="shared" si="2"/>
        <v>3707</v>
      </c>
      <c r="T19">
        <f t="shared" si="2"/>
        <v>11506539.199999999</v>
      </c>
      <c r="U19">
        <f t="shared" si="2"/>
        <v>2563107</v>
      </c>
      <c r="V19">
        <f t="shared" si="2"/>
        <v>95277844.353995562</v>
      </c>
      <c r="W19">
        <f t="shared" si="2"/>
        <v>348139.78107350622</v>
      </c>
      <c r="X19">
        <f t="shared" si="2"/>
        <v>0</v>
      </c>
      <c r="Y19">
        <f>SUM(Y2:Y18)</f>
        <v>0</v>
      </c>
      <c r="Z19">
        <f>SUM(Z2:Z18)</f>
        <v>0</v>
      </c>
      <c r="AA19">
        <f t="shared" ref="AA19:AS19" si="3">SUM(AA2:AA18)</f>
        <v>0</v>
      </c>
      <c r="AB19">
        <f t="shared" si="3"/>
        <v>0</v>
      </c>
      <c r="AC19">
        <f t="shared" si="3"/>
        <v>0</v>
      </c>
      <c r="AD19">
        <f t="shared" si="3"/>
        <v>0</v>
      </c>
      <c r="AE19">
        <f t="shared" si="3"/>
        <v>0</v>
      </c>
      <c r="AF19">
        <f t="shared" si="3"/>
        <v>0</v>
      </c>
      <c r="AG19">
        <f t="shared" si="3"/>
        <v>0</v>
      </c>
      <c r="AH19">
        <f t="shared" si="3"/>
        <v>0</v>
      </c>
      <c r="AI19">
        <f t="shared" si="3"/>
        <v>0</v>
      </c>
      <c r="AJ19">
        <f t="shared" si="3"/>
        <v>0</v>
      </c>
      <c r="AK19">
        <f t="shared" si="3"/>
        <v>0</v>
      </c>
      <c r="AL19">
        <f t="shared" si="3"/>
        <v>0</v>
      </c>
      <c r="AM19">
        <f t="shared" si="3"/>
        <v>0</v>
      </c>
      <c r="AN19">
        <f t="shared" si="3"/>
        <v>0</v>
      </c>
      <c r="AO19">
        <f t="shared" si="3"/>
        <v>0</v>
      </c>
      <c r="AP19">
        <f t="shared" si="3"/>
        <v>0</v>
      </c>
      <c r="AQ19">
        <f t="shared" si="3"/>
        <v>0</v>
      </c>
      <c r="AR19">
        <f t="shared" si="3"/>
        <v>0</v>
      </c>
      <c r="AS19">
        <f t="shared" si="3"/>
        <v>0</v>
      </c>
      <c r="AZ19">
        <f>SUM(AZ2:AZ18)</f>
        <v>1413779.2</v>
      </c>
      <c r="BA19">
        <f>SUM(BA2:BA18)</f>
        <v>0</v>
      </c>
      <c r="BP19">
        <f>SUM(BP2:BP18)</f>
        <v>128706524.62659357</v>
      </c>
      <c r="BQ19">
        <f>BP19/CE19</f>
        <v>2.1324427392800806E-2</v>
      </c>
      <c r="BR19">
        <f>SUM(BR2:BR18)</f>
        <v>71925560.760000005</v>
      </c>
      <c r="BS19">
        <f>SUM(BS2:BS18)</f>
        <v>71545181.482439995</v>
      </c>
      <c r="CE19">
        <f>SUM(CE2:CE18)</f>
        <v>6035638015.3047066</v>
      </c>
      <c r="CG19">
        <f>SUM(CG2:CG18)</f>
        <v>7634564.9580000006</v>
      </c>
    </row>
    <row r="20" spans="1:86" x14ac:dyDescent="0.25">
      <c r="AZ20" s="3"/>
      <c r="BA20" s="3"/>
    </row>
  </sheetData>
  <autoFilter ref="A1:CH19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63979cc8-f6b2-4ee6-8bed-630b6048d169">2014</Year>
    <d599451e10b14aceb47619c4acf6a5e3 xmlns="59db5950-9a61-4c09-b3e2-fe6d472fba04">
      <Terms xmlns="http://schemas.microsoft.com/office/infopath/2007/PartnerControls"/>
    </d599451e10b14aceb47619c4acf6a5e3>
    <TaxCatchAll xmlns="59db5950-9a61-4c09-b3e2-fe6d472fba04"/>
    <BusinessUnit xmlns="63979cc8-f6b2-4ee6-8bed-630b6048d169">Energy Office</BusinessUnit>
    <PublishingExpirationDate xmlns="http://schemas.microsoft.com/sharepoint/v3" xsi:nil="true"/>
    <RoutingRuleDescription xmlns="http://schemas.microsoft.com/sharepoint/v3">EIA</RoutingRuleDescription>
    <PublishingStartDate xmlns="http://schemas.microsoft.com/sharepoint/v3" xsi:nil="true"/>
    <Publish xmlns="63979cc8-f6b2-4ee6-8bed-630b6048d169">Yes</Publish>
    <Topic xmlns="63979cc8-f6b2-4ee6-8bed-630b6048d169">Energy</Topic>
    <Program xmlns="63979cc8-f6b2-4ee6-8bed-630b6048d169">Energy and Technology</Program>
    <Content_x0020_Type xmlns="63979cc8-f6b2-4ee6-8bed-630b6048d169">Report</Cont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7F82A00B46344287D29A2B5774955F" ma:contentTypeVersion="14" ma:contentTypeDescription="Create a new document." ma:contentTypeScope="" ma:versionID="bfa2846a6c184686b9f3de044de7d400">
  <xsd:schema xmlns:xsd="http://www.w3.org/2001/XMLSchema" xmlns:xs="http://www.w3.org/2001/XMLSchema" xmlns:p="http://schemas.microsoft.com/office/2006/metadata/properties" xmlns:ns1="http://schemas.microsoft.com/sharepoint/v3" xmlns:ns2="63979cc8-f6b2-4ee6-8bed-630b6048d169" xmlns:ns4="59db5950-9a61-4c09-b3e2-fe6d472fba04" targetNamespace="http://schemas.microsoft.com/office/2006/metadata/properties" ma:root="true" ma:fieldsID="780788e8d5d34511c459ebaa77e41fd8" ns1:_="" ns2:_="" ns4:_="">
    <xsd:import namespace="http://schemas.microsoft.com/sharepoint/v3"/>
    <xsd:import namespace="63979cc8-f6b2-4ee6-8bed-630b6048d169"/>
    <xsd:import namespace="59db5950-9a61-4c09-b3e2-fe6d472fba0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Program"/>
                <xsd:element ref="ns2:Content_x0020_Type"/>
                <xsd:element ref="ns1:RoutingRuleDescription"/>
                <xsd:element ref="ns4:d599451e10b14aceb47619c4acf6a5e3" minOccurs="0"/>
                <xsd:element ref="ns4:TaxCatchAll" minOccurs="0"/>
                <xsd:element ref="ns2:BusinessUnit" minOccurs="0"/>
                <xsd:element ref="ns2:Year" minOccurs="0"/>
                <xsd:element ref="ns2:Publish" minOccurs="0"/>
                <xsd:element ref="ns2: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  <xsd:element name="RoutingRuleDescription" ma:index="12" ma:displayName="Description" ma:internalName="RoutingRule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79cc8-f6b2-4ee6-8bed-630b6048d169" elementFormDefault="qualified">
    <xsd:import namespace="http://schemas.microsoft.com/office/2006/documentManagement/types"/>
    <xsd:import namespace="http://schemas.microsoft.com/office/infopath/2007/PartnerControls"/>
    <xsd:element name="Program" ma:index="10" ma:displayName="Theme" ma:format="Dropdown" ma:internalName="Program">
      <xsd:simpleType>
        <xsd:restriction base="dms:Choice">
          <xsd:enumeration value="About Commerce"/>
          <xsd:enumeration value="Business and Economic Development"/>
          <xsd:enumeration value="Community Services and Facilities"/>
          <xsd:enumeration value="Crime Victims and Public Safety"/>
          <xsd:enumeration value="Energy and Technology"/>
          <xsd:enumeration value="Foreclosure Fairness Program"/>
          <xsd:enumeration value="Growth Management"/>
          <xsd:enumeration value="Homeless Programs"/>
          <xsd:enumeration value="Housing and Homeless"/>
          <xsd:enumeration value="Infrastructure and Community Development"/>
          <xsd:enumeration value="Open Grants and Loan Applications"/>
          <xsd:enumeration value="Research Services"/>
          <xsd:enumeration value="Services and Assistance"/>
          <xsd:enumeration value="Reports and Publications"/>
        </xsd:restriction>
      </xsd:simpleType>
    </xsd:element>
    <xsd:element name="Content_x0020_Type" ma:index="11" ma:displayName="Content Type" ma:format="Dropdown" ma:internalName="Content_x0020_Type">
      <xsd:simpleType>
        <xsd:restriction base="dms:Choice">
          <xsd:enumeration value="Grant Application"/>
          <xsd:enumeration value="Loan Application"/>
          <xsd:enumeration value="Report"/>
          <xsd:enumeration value="Form"/>
          <xsd:enumeration value="Training Material"/>
          <xsd:enumeration value="Policy"/>
          <xsd:enumeration value="Presentation"/>
          <xsd:enumeration value="Award Lists"/>
          <xsd:enumeration value="Contract"/>
          <xsd:enumeration value="Project Information"/>
          <xsd:enumeration value="Data"/>
          <xsd:enumeration value="Commerce Solicitation"/>
          <xsd:enumeration value="Loan Application"/>
          <xsd:enumeration value="Public Input Process"/>
          <xsd:enumeration value="Fact Sheet"/>
          <xsd:enumeration value="Financial"/>
        </xsd:restriction>
      </xsd:simpleType>
    </xsd:element>
    <xsd:element name="BusinessUnit" ma:index="17" nillable="true" ma:displayName="Business Unit" ma:internalName="BusinessUnit">
      <xsd:simpleType>
        <xsd:restriction base="dms:Text">
          <xsd:maxLength value="55"/>
        </xsd:restriction>
      </xsd:simpleType>
    </xsd:element>
    <xsd:element name="Year" ma:index="18" nillable="true" ma:displayName="Year" ma:format="Dropdown" ma:internalName="Year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</xsd:restriction>
      </xsd:simpleType>
    </xsd:element>
    <xsd:element name="Publish" ma:index="19" nillable="true" ma:displayName="Publish" ma:format="RadioButtons" ma:internalName="Publish">
      <xsd:simpleType>
        <xsd:restriction base="dms:Choice">
          <xsd:enumeration value="Yes"/>
          <xsd:enumeration value="No"/>
        </xsd:restriction>
      </xsd:simpleType>
    </xsd:element>
    <xsd:element name="Topic" ma:index="20" nillable="true" ma:displayName="Topic" ma:format="Dropdown" ma:internalName="Topic">
      <xsd:simpleType>
        <xsd:restriction base="dms:Choice">
          <xsd:enumeration value="Affordable Housing"/>
          <xsd:enumeration value="Agriculture"/>
          <xsd:enumeration value="Annexation"/>
          <xsd:enumeration value="Annual Report"/>
          <xsd:enumeration value="Best Available Science"/>
          <xsd:enumeration value="Bicycling, Walking"/>
          <xsd:enumeration value="Buildable Lands"/>
          <xsd:enumeration value="Capital Facilities"/>
          <xsd:enumeration value="Capital Facilities Template"/>
          <xsd:enumeration value="Citizen Participation"/>
          <xsd:enumeration value="Clearing, Grading"/>
          <xsd:enumeration value="Coastal Erosion"/>
          <xsd:enumeration value="Comprehensive Plans"/>
          <xsd:enumeration value="Concurrency"/>
          <xsd:enumeration value="Critical Areas"/>
          <xsd:enumeration value="Development Regulations"/>
          <xsd:enumeration value="Economic Development"/>
          <xsd:enumeration value="ESA Listings"/>
          <xsd:enumeration value="ESHB 1724"/>
          <xsd:enumeration value="GMA"/>
          <xsd:enumeration value="GMA"/>
          <xsd:enumeration value="GMA RCWs"/>
          <xsd:enumeration value="Governor's Smart Communities Awards Program Brochure"/>
          <xsd:enumeration value="Growth Management 15-Year - An Overview, Brochure"/>
          <xsd:enumeration value="Growth Management 15-Year Report"/>
          <xsd:enumeration value="Growth Management Hearings Boards"/>
          <xsd:enumeration value="Growth Management Services"/>
          <xsd:enumeration value="Historic Preservation"/>
          <xsd:enumeration value="Housing"/>
          <xsd:enumeration value="Impact Fees"/>
          <xsd:enumeration value="Interagency Contacts"/>
          <xsd:enumeration value="Land Use Element"/>
          <xsd:enumeration value="Medical Marijuana"/>
          <xsd:enumeration value="Military Installation Compatibility"/>
          <xsd:enumeration value="Military Installations"/>
          <xsd:enumeration value="Minimum Guidelines"/>
          <xsd:enumeration value="Model Codes"/>
          <xsd:enumeration value="Natural Hazard Reduction"/>
          <xsd:enumeration value="Parks, Recreation, and Open Space"/>
          <xsd:enumeration value="Permits"/>
          <xsd:enumeration value="Planner's Update Bulletin"/>
          <xsd:enumeration value="Planner's Update Newsletter"/>
          <xsd:enumeration value="Population Forecasting"/>
          <xsd:enumeration value="Procedural Criteria"/>
          <xsd:enumeration value="Project Consistency"/>
          <xsd:enumeration value="Property Rights"/>
          <xsd:enumeration value="Quality of Life"/>
          <xsd:enumeration value="RCWs"/>
          <xsd:enumeration value="Resource Lands"/>
          <xsd:enumeration value="Rural"/>
          <xsd:enumeration value="Rural Lands"/>
          <xsd:enumeration value="SEPA/GMA"/>
          <xsd:enumeration value="Shoreline Management"/>
          <xsd:enumeration value="Short Course"/>
          <xsd:enumeration value="Success Stories"/>
          <xsd:enumeration value="Transportation"/>
          <xsd:enumeration value="Update Process"/>
          <xsd:enumeration value="Update, GMA"/>
          <xsd:enumeration value="Urban"/>
          <xsd:enumeration value="Urban Growth Areas"/>
          <xsd:enumeration value="WAC"/>
          <xsd:enumeration value="Energy"/>
          <xsd:enumeration value="Energy strategy"/>
          <xsd:enumeration value="Energy policy"/>
          <xsd:enumeration value="Electric Utilities"/>
          <xsd:enumeration value="Building Codes"/>
          <xsd:enumeration value="Appliances"/>
          <xsd:enumeration value="SEP Grants and Loans"/>
          <xsd:enumeration value="Bioenergy"/>
          <xsd:enumeration value="Petroleum and Natural Gas"/>
          <xsd:enumeration value="Renewable Resources"/>
          <xsd:enumeration value="Transportation"/>
          <xsd:enumeration value="Energy Emergencies"/>
          <xsd:enumeration value="Energy Data"/>
          <xsd:enumeration value="60 day notice"/>
          <xsd:enumeration value="Appellate Decisions"/>
          <xsd:enumeration value="Biodiversity"/>
          <xsd:enumeration value="Checklist"/>
          <xsd:enumeration value="Citizen Participation"/>
          <xsd:enumeration value="Climate Change"/>
          <xsd:enumeration value="Energy"/>
          <xsd:enumeration value="Energy Aware"/>
          <xsd:enumeration value="Evergreen Communities"/>
          <xsd:enumeration value="GMA Effectiveness"/>
          <xsd:enumeration value="GMA Publications"/>
          <xsd:enumeration value="GMA RCW Update"/>
          <xsd:enumeration value="GMA Update Map"/>
          <xsd:enumeration value="Land Use Study Commission"/>
          <xsd:enumeration value="Mineral Lands"/>
          <xsd:enumeration value="Multi-Unit Tax Exemption"/>
          <xsd:enumeration value="Multi-Unit Tax Form"/>
          <xsd:enumeration value="NSP"/>
          <xsd:enumeration value="Planner Forums"/>
          <xsd:enumeration value="Property Rights"/>
          <xsd:enumeration value="Guidebook"/>
          <xsd:enumeration value="Parks and Open Space"/>
          <xsd:enumeration value="Periodic Update"/>
          <xsd:enumeration value="GMA Update (update process)"/>
          <xsd:enumeration value="Permitting"/>
          <xsd:enumeration value="Planners Update Newsletter"/>
          <xsd:enumeration value="Regulatory Reform"/>
          <xsd:enumeration value="School Planning"/>
          <xsd:enumeration value="Rural Lands"/>
          <xsd:enumeration value="SEPA"/>
          <xsd:enumeration value="SEPA/GMA"/>
          <xsd:enumeration value="Smart Growth"/>
          <xsd:enumeration value="TDR"/>
          <xsd:enumeration value="UGA"/>
          <xsd:enumeration value="Update"/>
          <xsd:enumeration value="Update Schedule Map"/>
          <xsd:enumeration value="Urban Growth Area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b5950-9a61-4c09-b3e2-fe6d472fba04" elementFormDefault="qualified">
    <xsd:import namespace="http://schemas.microsoft.com/office/2006/documentManagement/types"/>
    <xsd:import namespace="http://schemas.microsoft.com/office/infopath/2007/PartnerControls"/>
    <xsd:element name="d599451e10b14aceb47619c4acf6a5e3" ma:index="15" nillable="true" ma:taxonomy="true" ma:internalName="d599451e10b14aceb47619c4acf6a5e3" ma:taxonomyFieldName="Tags" ma:displayName="Tags" ma:default="" ma:fieldId="{d599451e-10b1-4ace-b476-19c4acf6a5e3}" ma:taxonomyMulti="true" ma:sspId="bf6a826f-2cab-45dc-9ffe-fa5cab908faa" ma:termSetId="1ce3ecf8-e5ae-413d-890c-de5413657a2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ae2a0ba3-27c4-4c52-bac5-ed8a80cb3154}" ma:internalName="TaxCatchAll" ma:showField="CatchAllData" ma:web="3a6c8716-ce09-4ad1-ae62-44b49a76ad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8E4481-FD29-4CF8-96FB-C843D5CDD723}">
  <ds:schemaRefs>
    <ds:schemaRef ds:uri="63979cc8-f6b2-4ee6-8bed-630b6048d169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59db5950-9a61-4c09-b3e2-fe6d472fba04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28D8C321-5758-4DEE-A780-0C82DE7525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CADA06-9D1B-48D0-98BE-596E2104FE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3979cc8-f6b2-4ee6-8bed-630b6048d169"/>
    <ds:schemaRef ds:uri="59db5950-9a61-4c09-b3e2-fe6d472fba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Renewable by Utility</vt:lpstr>
      <vt:lpstr>Renewable by Type</vt:lpstr>
      <vt:lpstr>Conservation by Utility</vt:lpstr>
      <vt:lpstr>Conservation by Sector</vt:lpstr>
      <vt:lpstr>2017 Reported Data</vt:lpstr>
    </vt:vector>
  </TitlesOfParts>
  <Company>Washington State Department of Commerce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EIA-2014-Report-Summary-and-Detail-REV20140714</dc:title>
  <dc:creator>Glenn Blackmon</dc:creator>
  <cp:keywords>EIA</cp:keywords>
  <cp:lastModifiedBy>Blackmon, Glenn (COM)</cp:lastModifiedBy>
  <cp:lastPrinted>2017-07-11T17:57:55Z</cp:lastPrinted>
  <dcterms:created xsi:type="dcterms:W3CDTF">2014-06-09T17:48:49Z</dcterms:created>
  <dcterms:modified xsi:type="dcterms:W3CDTF">2017-07-11T17:58:54Z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0x010100B37F82A00B46344287D29A2B5774955F</vt:lpwstr>
  </property>
  <property fmtid="{D5CDD505-2E9C-101B-9397-08002B2CF9AE}" pid="3" name="Tags">
    <vt:lpwstr/>
  </property>
  <property fmtid="{D5CDD505-2E9C-101B-9397-08002B2CF9AE}" pid="4" name="Order">
    <vt:r8>400700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emplateUrl">
    <vt:lpwstr/>
  </property>
</Properties>
</file>