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5200" windowHeight="11385" tabRatio="719"/>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45621"/>
  <fileRecoveryPr repairLoad="1"/>
</workbook>
</file>

<file path=xl/calcChain.xml><?xml version="1.0" encoding="utf-8"?>
<calcChain xmlns="http://schemas.openxmlformats.org/spreadsheetml/2006/main">
  <c r="M40" i="16" l="1"/>
  <c r="I10" i="23"/>
  <c r="I9" i="23"/>
  <c r="D10" i="23"/>
  <c r="D9" i="23"/>
  <c r="C18" i="16" l="1"/>
  <c r="M5" i="16"/>
  <c r="M6" i="16"/>
  <c r="E38" i="23"/>
  <c r="E37" i="23"/>
  <c r="M43" i="23"/>
  <c r="M41" i="23" l="1"/>
  <c r="M40" i="23"/>
  <c r="M39" i="23"/>
  <c r="D19" i="16" l="1"/>
  <c r="G8" i="18" l="1"/>
  <c r="I69" i="16"/>
  <c r="I70" i="16"/>
  <c r="I71" i="16"/>
  <c r="I72" i="16"/>
  <c r="I73" i="16"/>
  <c r="I74" i="16"/>
  <c r="I75" i="16"/>
  <c r="I76" i="16"/>
  <c r="I77" i="16"/>
  <c r="I78" i="16"/>
  <c r="I79" i="16"/>
  <c r="I80" i="16"/>
  <c r="I81" i="16"/>
  <c r="I82" i="16"/>
  <c r="I83" i="16"/>
  <c r="I84" i="16"/>
  <c r="I85" i="16"/>
  <c r="I86" i="16"/>
  <c r="I87" i="16"/>
  <c r="I88" i="16"/>
  <c r="I89" i="16"/>
  <c r="I90" i="16"/>
  <c r="I91" i="16"/>
  <c r="I68" i="16"/>
  <c r="I67" i="16"/>
  <c r="C20" i="16"/>
  <c r="D39" i="23"/>
  <c r="D40" i="23"/>
  <c r="D41" i="23"/>
  <c r="D42" i="23"/>
  <c r="D43" i="23"/>
  <c r="D44" i="23"/>
  <c r="D45" i="23"/>
  <c r="D46" i="23"/>
  <c r="D47" i="23"/>
  <c r="D48" i="23"/>
  <c r="D49" i="23"/>
  <c r="D50" i="23"/>
  <c r="D51" i="23"/>
  <c r="D52" i="23"/>
  <c r="D53" i="23"/>
  <c r="D54" i="23"/>
  <c r="D55" i="23"/>
  <c r="D56" i="23"/>
  <c r="D57" i="23"/>
  <c r="D58" i="23"/>
  <c r="D59" i="23"/>
  <c r="D60" i="23"/>
  <c r="D61" i="23"/>
  <c r="D38" i="23"/>
  <c r="D37" i="23"/>
  <c r="C11" i="23"/>
  <c r="C12" i="23"/>
  <c r="C13" i="23"/>
  <c r="C14" i="23"/>
  <c r="C15" i="23"/>
  <c r="C16" i="23"/>
  <c r="C17" i="23"/>
  <c r="C18" i="23"/>
  <c r="C19" i="23"/>
  <c r="C20" i="23"/>
  <c r="C21" i="23"/>
  <c r="C22" i="23"/>
  <c r="C23" i="23"/>
  <c r="C24" i="23"/>
  <c r="C25" i="23"/>
  <c r="C26" i="23"/>
  <c r="C27" i="23"/>
  <c r="C28" i="23"/>
  <c r="C29" i="23"/>
  <c r="C10" i="23"/>
  <c r="C9" i="23"/>
  <c r="E19" i="16"/>
  <c r="F19" i="16"/>
  <c r="G19" i="16"/>
  <c r="H19" i="16"/>
  <c r="I19" i="16"/>
  <c r="J19" i="16"/>
  <c r="K19" i="16"/>
  <c r="L19" i="16"/>
  <c r="BZ2" i="19" s="1"/>
  <c r="D18" i="16"/>
  <c r="E18" i="16"/>
  <c r="F18" i="16"/>
  <c r="G18" i="16"/>
  <c r="H18" i="16"/>
  <c r="I18" i="16"/>
  <c r="J18" i="16"/>
  <c r="K18" i="16"/>
  <c r="L18" i="16"/>
  <c r="BJ2" i="19" s="1"/>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M19" i="16" l="1"/>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K9" i="23" l="1"/>
  <c r="F39" i="23"/>
  <c r="F40" i="23"/>
  <c r="F41" i="23"/>
  <c r="F42" i="23"/>
  <c r="F43" i="23"/>
  <c r="F44" i="23"/>
  <c r="F45" i="23"/>
  <c r="F46" i="23"/>
  <c r="F47" i="23"/>
  <c r="F48" i="23"/>
  <c r="F49" i="23"/>
  <c r="F50" i="23"/>
  <c r="F51" i="23"/>
  <c r="F52" i="23"/>
  <c r="F53" i="23"/>
  <c r="F54" i="23"/>
  <c r="F55" i="23"/>
  <c r="F56" i="23"/>
  <c r="F57" i="23"/>
  <c r="F58" i="23"/>
  <c r="F59" i="23"/>
  <c r="F60" i="23"/>
  <c r="F61" i="23"/>
  <c r="K29" i="23" l="1"/>
  <c r="K28" i="23"/>
  <c r="K27" i="23"/>
  <c r="K26" i="23"/>
  <c r="K25" i="23"/>
  <c r="K24" i="23"/>
  <c r="K23" i="23"/>
  <c r="K22" i="23"/>
  <c r="K21" i="23"/>
  <c r="K20" i="23"/>
  <c r="K19" i="23"/>
  <c r="K18" i="23"/>
  <c r="K17" i="23"/>
  <c r="K16" i="23"/>
  <c r="K15" i="23"/>
  <c r="K14" i="23"/>
  <c r="K13" i="23"/>
  <c r="K12" i="23"/>
  <c r="K11" i="23"/>
  <c r="K10"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J11" i="23"/>
  <c r="E12" i="23"/>
  <c r="J13" i="23"/>
  <c r="J14" i="23"/>
  <c r="J15" i="23"/>
  <c r="E16" i="23"/>
  <c r="J17" i="23"/>
  <c r="J18" i="23"/>
  <c r="J19" i="23"/>
  <c r="E20" i="23"/>
  <c r="E21" i="23"/>
  <c r="J22" i="23"/>
  <c r="J23" i="23"/>
  <c r="E24" i="23"/>
  <c r="J25" i="23"/>
  <c r="E26" i="23"/>
  <c r="J27" i="23"/>
  <c r="E28" i="23"/>
  <c r="E29" i="23"/>
  <c r="J28" i="23" l="1"/>
  <c r="J12" i="23"/>
  <c r="J20" i="23"/>
  <c r="K30" i="23"/>
  <c r="M13" i="16" s="1"/>
  <c r="BP2" i="19" s="1"/>
  <c r="J26" i="23"/>
  <c r="E22"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M15" i="16" l="1"/>
  <c r="BQ2" i="19" s="1"/>
  <c r="BM2" i="19" l="1"/>
  <c r="BN2" i="19"/>
  <c r="BL2" i="19"/>
  <c r="BH2" i="19"/>
  <c r="BI2" i="19"/>
  <c r="BO2" i="19"/>
  <c r="BK2" i="19"/>
  <c r="BF2" i="19"/>
  <c r="BG2" i="19"/>
  <c r="BE2" i="19"/>
  <c r="B33" i="18" l="1"/>
  <c r="D31" i="18" l="1"/>
  <c r="H2" i="19" s="1"/>
  <c r="C31" i="18"/>
  <c r="K2" i="19" l="1"/>
  <c r="G9" i="18"/>
  <c r="G10" i="18" s="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<sst xmlns="http://schemas.openxmlformats.org/spreadsheetml/2006/main" count="349" uniqueCount="223">
  <si>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</si>
  <si>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</si>
  <si>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</si>
  <si>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</si>
  <si>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</si>
  <si>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</si>
  <si>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</si>
  <si>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</si>
  <si>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</si>
  <si>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</si>
  <si>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</si>
  <si>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</si>
  <si>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</si>
  <si>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</si>
  <si>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</si>
  <si>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</si>
  <si>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</si>
  <si>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</si>
  <si>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</si>
  <si>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</si>
  <si>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</si>
  <si>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</si>
  <si>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</si>
  <si>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</si>
  <si>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</si>
  <si>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</si>
  <si>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</si>
  <si>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</si>
  <si>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</si>
  <si>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</si>
  <si>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</si>
  <si>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</si>
  <si>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</si>
  <si>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</si>
  <si>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</si>
  <si>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</si>
  <si>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</si>
  <si>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</si>
  <si>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</si>
  <si>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</si>
  <si>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</si>
  <si>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</si>
  <si>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</si>
  <si>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</si>
  <si>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</si>
  <si>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</si>
  <si>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</si>
  <si>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</si>
  <si>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</si>
  <si>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</si>
  <si>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</si>
  <si>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</si>
  <si>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</si>
  <si>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</si>
  <si>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</si>
  <si>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</si>
  <si>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</si>
  <si>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</si>
  <si>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</si>
  <si>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</si>
  <si>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</si>
  <si>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</si>
  <si>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</si>
  <si>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</si>
  <si>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</si>
  <si>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</si>
  <si>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</si>
  <si>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</si>
  <si>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</si>
  <si>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</si>
  <si>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</si>
  <si>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</si>
  <si>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</si>
  <si>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</si>
  <si>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</si>
  <si>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</si>
  <si>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</si>
  <si>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</si>
  <si>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</si>
  <si>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</si>
  <si>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</si>
  <si>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</si>
  <si>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</si>
  <si>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</si>
  <si>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</si>
  <si>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</si>
  <si>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</si>
  <si>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</si>
  <si>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</si>
  <si>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</si>
  <si>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</si>
  <si>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</si>
  <si>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</si>
  <si>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</si>
  <si>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</si>
  <si>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</si>
  <si>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</si>
  <si>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</si>
  <si>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</si>
  <si>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</si>
  <si>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</si>
  <si>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</si>
  <si>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</si>
  <si>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</si>
  <si>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</si>
  <si>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</si>
  <si>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</si>
  <si>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</si>
  <si>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</si>
  <si>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</si>
  <si>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</si>
  <si>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</si>
  <si>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</si>
  <si>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</si>
  <si>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</si>
  <si>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</si>
  <si>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</si>
  <si>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</si>
  <si>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</si>
  <si>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</si>
  <si>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</si>
  <si>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</si>
  <si>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</si>
  <si>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</si>
  <si>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</si>
  <si>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</si>
  <si>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</si>
  <si>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</si>
  <si>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</si>
  <si>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</si>
  <si>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</si>
  <si>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</si>
  <si>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</si>
  <si>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</si>
  <si>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</si>
  <si>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</si>
  <si>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</si>
  <si>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</si>
  <si>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</si>
  <si>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</si>
  <si>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</si>
  <si>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</si>
  <si>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</si>
  <si>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</si>
  <si>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</si>
  <si>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</si>
  <si>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</si>
  <si>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</si>
  <si>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</si>
  <si>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</si>
  <si>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</si>
  <si>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</si>
  <si>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</si>
  <si>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</si>
  <si>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</si>
  <si>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</si>
  <si>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</si>
  <si>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</si>
  <si>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</si>
  <si>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</si>
  <si>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</si>
  <si>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</si>
  <si>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</si>
  <si>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</si>
  <si>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</si>
  <si>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</si>
  <si>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</si>
  <si>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</si>
  <si>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</si>
  <si>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</si>
  <si>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</si>
  <si>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</si>
  <si>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</si>
  <si>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</si>
  <si>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</si>
  <si>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</si>
  <si>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</si>
  <si>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</si>
  <si>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</si>
  <si>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</si>
  <si>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</si>
  <si>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</si>
  <si>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</si>
  <si>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</si>
  <si>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</si>
  <si>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</si>
  <si>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</si>
  <si>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</si>
  <si>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</si>
  <si>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</si>
  <si>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</si>
  <si>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</si>
  <si>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</si>
  <si>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</si>
  <si>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</si>
  <si>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</si>
  <si>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</si>
  <si>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</si>
  <si>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Public Utility District No. 2 of Grant County</t>
  </si>
  <si>
    <t>Diane Chestnut/ Customer Service</t>
  </si>
  <si>
    <t>509.766.2534</t>
  </si>
  <si>
    <t>dchestn@gcpud.org</t>
  </si>
  <si>
    <t>SIS</t>
  </si>
  <si>
    <t>509-754-5294</t>
  </si>
  <si>
    <t>csprous@gcpud.org</t>
  </si>
  <si>
    <t>Wanapum Dam Bypass Top Spill for Fish Passage</t>
  </si>
  <si>
    <t>Priest Rapids Dam Bypass Top Spill for Fish Passage</t>
  </si>
  <si>
    <t>Nine Canyon Wind Project - Nine Canyon Phase 3</t>
  </si>
  <si>
    <t>Nine Canyon Wind Project - Nine Canyon Phases 1&amp;2</t>
  </si>
  <si>
    <t>W697</t>
  </si>
  <si>
    <t>W684</t>
  </si>
  <si>
    <t>Casey Sprouse, Power Management</t>
  </si>
  <si>
    <t>Monthly Invoice</t>
  </si>
  <si>
    <t>Months</t>
  </si>
  <si>
    <t>Annual Payment</t>
  </si>
  <si>
    <t>Number of REC's</t>
  </si>
  <si>
    <t>$ / Mwh</t>
  </si>
  <si>
    <t>Market Alternative Melded ICE Mid-C Index 2015</t>
  </si>
  <si>
    <t>Cost of renewable attributes</t>
  </si>
  <si>
    <t>Budgeted</t>
  </si>
  <si>
    <t>N/A</t>
  </si>
  <si>
    <t>Forward Price Strip (ICE) 12/31/15</t>
  </si>
  <si>
    <t>Nine Canyon Cost 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</si>
</sst>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0"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94">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2"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3" xfId="0" applyNumberFormat="1" applyFont="1" applyFill="1" applyBorder="1" applyAlignment="1">
      <alignment horizontal="center"/>
    </xf>
    <xf numFmtId="165" fontId="8" fillId="6" borderId="47" xfId="1" applyNumberFormat="1" applyFont="1" applyFill="1" applyBorder="1"/>
    <xf numFmtId="165" fontId="8" fillId="6" borderId="51"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8"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9"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0" fontId="1" fillId="7" borderId="48" xfId="0" applyFont="1" applyFill="1" applyBorder="1" applyAlignment="1" applyProtection="1">
      <alignment horizontal="righ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0" fontId="1" fillId="7" borderId="49"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1" fillId="7" borderId="49" xfId="0" applyFont="1" applyFill="1" applyBorder="1" applyAlignment="1" applyProtection="1">
      <alignment horizontal="right" wrapText="1"/>
      <protection locked="0"/>
    </xf>
    <xf numFmtId="0" fontId="2" fillId="7" borderId="11" xfId="0" applyFont="1" applyFill="1" applyBorder="1" applyAlignment="1" applyProtection="1">
      <alignment horizontal="left"/>
      <protection locked="0"/>
    </xf>
    <xf numFmtId="0" fontId="2" fillId="7" borderId="49"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9" xfId="0" applyFont="1" applyFill="1" applyBorder="1" applyProtection="1">
      <protection locked="0"/>
    </xf>
    <xf numFmtId="0" fontId="9" fillId="7" borderId="15" xfId="0" applyFont="1" applyFill="1" applyBorder="1" applyAlignment="1" applyProtection="1">
      <alignment horizontal="left"/>
      <protection locked="0"/>
    </xf>
    <xf numFmtId="0" fontId="9" fillId="7" borderId="50"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3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7"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50"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8" xfId="0" applyFont="1" applyFill="1" applyBorder="1" applyAlignment="1" applyProtection="1">
      <alignment horizontal="left"/>
      <protection locked="0"/>
    </xf>
    <xf numFmtId="0" fontId="1" fillId="7" borderId="49" xfId="0" applyFont="1" applyFill="1" applyBorder="1" applyAlignment="1" applyProtection="1">
      <alignment horizontal="left"/>
      <protection locked="0"/>
    </xf>
    <xf numFmtId="0" fontId="1" fillId="7" borderId="49" xfId="0" applyFont="1" applyFill="1" applyBorder="1" applyAlignment="1" applyProtection="1">
      <alignment horizontal="left" wrapText="1"/>
      <protection locked="0"/>
    </xf>
    <xf numFmtId="0" fontId="2" fillId="7" borderId="49"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0" fontId="9" fillId="7" borderId="50" xfId="0" applyFont="1" applyFill="1" applyBorder="1" applyAlignment="1" applyProtection="1">
      <alignment horizontal="left"/>
      <protection locked="0"/>
    </xf>
    <xf numFmtId="165" fontId="8" fillId="7" borderId="11" xfId="1" applyNumberFormat="1" applyFont="1" applyFill="1" applyBorder="1" applyAlignment="1" applyProtection="1">
      <alignment horizontal="center"/>
      <protection locked="0"/>
    </xf>
    <xf numFmtId="165" fontId="8" fillId="6" borderId="34" xfId="1" applyNumberFormat="1" applyFont="1" applyFill="1" applyBorder="1" applyAlignment="1">
      <alignment horizontal="center"/>
    </xf>
    <xf numFmtId="165" fontId="8" fillId="6" borderId="12" xfId="1" applyNumberFormat="1" applyFont="1" applyFill="1" applyBorder="1" applyAlignment="1">
      <alignment horizontal="center"/>
    </xf>
    <xf numFmtId="165" fontId="8" fillId="2" borderId="0" xfId="0" applyNumberFormat="1" applyFont="1" applyFill="1" applyProtection="1">
      <protection locked="0"/>
    </xf>
    <xf numFmtId="44" fontId="8" fillId="2" borderId="0" xfId="2" applyFont="1" applyFill="1" applyProtection="1">
      <protection locked="0"/>
    </xf>
    <xf numFmtId="44" fontId="8" fillId="2" borderId="0" xfId="0" applyNumberFormat="1" applyFont="1" applyFill="1" applyProtection="1">
      <protection locked="0"/>
    </xf>
    <xf numFmtId="0" fontId="9" fillId="2" borderId="0" xfId="0" quotePrefix="1" applyFont="1" applyFill="1" applyProtection="1">
      <protection locked="0"/>
    </xf>
    <xf numFmtId="44" fontId="1" fillId="6" borderId="16" xfId="2" applyFont="1" applyFill="1" applyBorder="1" applyAlignment="1" applyProtection="1">
      <alignment horizontal="right"/>
    </xf>
    <xf numFmtId="168" fontId="10" fillId="7" borderId="13" xfId="0" applyNumberFormat="1" applyFont="1" applyFill="1" applyBorder="1" applyAlignment="1" applyProtection="1">
      <alignment horizontal="left"/>
      <protection locked="0"/>
    </xf>
    <xf numFmtId="168"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0" fontId="12" fillId="2" borderId="0" xfId="0" applyFont="1" applyFill="1" applyBorder="1" applyAlignment="1">
      <alignment horizontal="center"/>
    </xf>
    <xf numFmtId="0" fontId="1" fillId="2" borderId="0" xfId="0" applyFont="1" applyFill="1" applyBorder="1" applyAlignment="1">
      <alignment horizontal="right" wrapText="1"/>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18" xfId="0" applyFont="1" applyFill="1" applyBorder="1" applyAlignment="1">
      <alignment horizontal="center"/>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xf numFmtId="44" fontId="8" fillId="6" borderId="1" xfId="2" applyFont="1" applyFill="1" applyBorder="1" applyAlignment="1" applyProtection="1"/>
    <xf numFmtId="165" fontId="12" fillId="2" borderId="0" xfId="0" applyNumberFormat="1" applyFont="1" applyFill="1" applyBorder="1" applyAlignment="1">
      <alignment horizontal="center" vertical="center" wrapText="1"/>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Grant PUD used a Conservation</a:t>
          </a:r>
          <a:r>
            <a:rPr lang="en-US" sz="1100" baseline="0">
              <a:solidFill>
                <a:schemeClr val="dk1"/>
              </a:solidFill>
              <a:effectLst/>
              <a:latin typeface="+mn-lt"/>
              <a:ea typeface="+mn-ea"/>
              <a:cs typeface="+mn-cs"/>
            </a:rPr>
            <a:t> Potential Assesment (CPA) provided by EES Consulting based on the </a:t>
          </a:r>
          <a:r>
            <a:rPr lang="en-US" sz="1100">
              <a:solidFill>
                <a:schemeClr val="dk1"/>
              </a:solidFill>
              <a:effectLst/>
              <a:latin typeface="+mn-lt"/>
              <a:ea typeface="+mn-ea"/>
              <a:cs typeface="+mn-cs"/>
            </a:rPr>
            <a:t>Northwest Power and Conservation Council’s 6th Plan.  The Calculator shows Grant PUD has a ten-year potential of 182,471 MWhs, with the revised two year target being 34,251 MWhs.  G</a:t>
          </a:r>
          <a:r>
            <a:rPr lang="en-US" sz="1100" baseline="0">
              <a:solidFill>
                <a:schemeClr val="dk1"/>
              </a:solidFill>
              <a:effectLst/>
              <a:latin typeface="+mn-lt"/>
              <a:ea typeface="+mn-ea"/>
              <a:cs typeface="+mn-cs"/>
            </a:rPr>
            <a:t>rant PUD Commission approved, by Resolution 8705 and 8803, the setting of the District's 10-year Conservation Potential and Two-year Conservation Target following at an open public meeting.</a:t>
          </a:r>
          <a:endParaRPr lang="en-US">
            <a:effectLst/>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Grant PUD is meeting it's</a:t>
          </a:r>
          <a:r>
            <a:rPr lang="en-US" baseline="0"/>
            <a:t> 2016 EIA renewable  target through a combination of incremental hydro generation from reduced spill due to fish mitigation structures installed at Wanapum and Priest Rapids hydroelectric dams on the Columbia River, and the 2015 RECs produced from it's 12.54% share of the Nine Canyon wind turbine project output, located in Benton County, Washington.   Shell Energy has the right to all incremental hydropower not required by the District  for purposes of I-937 compliance,  for 2016, this amount is estimated to be 266,506 MWh.</a:t>
          </a:r>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4552950" cy="695325"/>
              <a:chOff x="1362075" y="2266950"/>
              <a:chExt cx="1524000" cy="533399"/>
            </a:xfrm>
          </xdr:grpSpPr>
          <xdr:sp macro="" textlink="">
            <xdr:nvSpPr>
              <xdr:cNvPr id="5453" name="Check Box 333" hidden="1">
                <a:extLst>
                  <a:ext uri="{63B3BB69-23CF-44E3-9099-C40C66FF867C}">
                    <a14:compatExt spid="_x0000_s5453"/>
                  </a:ext>
                </a:extLst>
              </xdr:cNvPr>
              <xdr:cNvSpPr/>
            </xdr:nvSpPr>
            <xdr:spPr>
              <a:xfrm>
                <a:off x="1362075" y="2714624"/>
                <a:ext cx="1524000" cy="857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a:xfrm>
                <a:off x="1362075" y="2447925"/>
                <a:ext cx="1447800" cy="2095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a:xfrm>
                <a:off x="1362075" y="2266950"/>
                <a:ext cx="1352550" cy="1333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dchestn@gcpud.org"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csprous@gc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abSelected="1" workbookViewId="0">
      <selection activeCell="F31" sqref="F31"/>
    </sheetView>
  </sheetViews>
  <sheetFormatPr defaultRowHeight="15" x14ac:dyDescent="0.25"/>
  <cols>
    <col min="1" max="1" width="135.140625" customWidth="1"/>
    <col min="14" max="14" width="11.7109375" customWidth="1"/>
  </cols>
  <sheetData>
    <row r="1" spans="1:14" ht="18.75" x14ac:dyDescent="0.25">
      <c r="A1" s="70" t="s">
        <v>194</v>
      </c>
    </row>
    <row r="2" spans="1:14" x14ac:dyDescent="0.25">
      <c r="A2" s="71" t="s">
        <v>110</v>
      </c>
    </row>
    <row r="3" spans="1:14" x14ac:dyDescent="0.25">
      <c r="A3" s="70"/>
      <c r="N3" s="43"/>
    </row>
    <row r="4" spans="1:14" x14ac:dyDescent="0.25">
      <c r="A4" s="69" t="s">
        <v>111</v>
      </c>
    </row>
    <row r="5" spans="1:14" x14ac:dyDescent="0.25">
      <c r="A5" s="69" t="s">
        <v>106</v>
      </c>
      <c r="N5">
        <f>IF(REN_Load_2015+REN_Load_2014&gt;0,AVERAGE(REN_Load_2015,REN_Load_2014),0)</f>
        <v>4361296.2639999995</v>
      </c>
    </row>
    <row r="6" spans="1:14" x14ac:dyDescent="0.25">
      <c r="A6" s="69" t="s">
        <v>197</v>
      </c>
    </row>
    <row r="8" spans="1:14" x14ac:dyDescent="0.25">
      <c r="A8" s="72" t="s">
        <v>192</v>
      </c>
    </row>
    <row r="9" spans="1:14" x14ac:dyDescent="0.25">
      <c r="A9" s="73" t="s">
        <v>193</v>
      </c>
    </row>
  </sheetData>
  <sheetProtection sheet="1" objects="1" scenarios="1"/>
  <pageMargins left="0.25" right="0.25" top="0.25" bottom="0.75" header="0.05" footer="0.3"/>
  <pageSetup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B26" sqref="B26"/>
    </sheetView>
  </sheetViews>
  <sheetFormatPr defaultRowHeight="15" x14ac:dyDescent="0.25"/>
  <cols>
    <col min="1" max="1" width="107" customWidth="1"/>
    <col min="14" max="14" width="11.7109375" customWidth="1"/>
  </cols>
  <sheetData>
    <row r="1" spans="1:14" ht="18.75" x14ac:dyDescent="0.25">
      <c r="A1" s="38" t="s">
        <v>112</v>
      </c>
    </row>
    <row r="2" spans="1:14" ht="18.75" x14ac:dyDescent="0.25">
      <c r="A2" s="39"/>
    </row>
    <row r="3" spans="1:14" ht="57" x14ac:dyDescent="0.25">
      <c r="A3" s="40" t="s">
        <v>113</v>
      </c>
      <c r="N3" s="43"/>
    </row>
    <row r="4" spans="1:14" x14ac:dyDescent="0.25">
      <c r="A4" s="40"/>
      <c r="N4" s="43"/>
    </row>
    <row r="5" spans="1:14" ht="72" x14ac:dyDescent="0.25">
      <c r="A5" s="40" t="s">
        <v>114</v>
      </c>
      <c r="N5" s="43"/>
    </row>
    <row r="6" spans="1:14" x14ac:dyDescent="0.25">
      <c r="A6" s="40"/>
    </row>
    <row r="7" spans="1:14" ht="29.25" thickBot="1" x14ac:dyDescent="0.3">
      <c r="A7" s="41" t="s">
        <v>115</v>
      </c>
      <c r="N7">
        <f>IF(REN_Load_2015+REN_Load_2014&gt;0,AVERAGE(REN_Load_2015,REN_Load_2014),0)</f>
        <v>4361296.2639999995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opLeftCell="A13" zoomScaleNormal="100" workbookViewId="0">
      <selection activeCell="K18" sqref="K18"/>
    </sheetView>
  </sheetViews>
  <sheetFormatPr defaultColWidth="9.140625" defaultRowHeight="12.75" x14ac:dyDescent="0.2"/>
  <cols>
    <col min="1" max="2" width="16.7109375" style="87" customWidth="1"/>
    <col min="3" max="3" width="17.140625" style="87" customWidth="1"/>
    <col min="4" max="4" width="16" style="87" customWidth="1"/>
    <col min="5" max="5" width="4.42578125" style="87" customWidth="1"/>
    <col min="6" max="6" width="14.42578125" style="87" customWidth="1"/>
    <col min="7" max="7" width="15.28515625" style="87" customWidth="1"/>
    <col min="8" max="8" width="12.28515625" style="87" customWidth="1"/>
    <col min="9" max="9" width="11.140625" style="87" customWidth="1"/>
    <col min="10" max="10" width="9.140625" style="87"/>
    <col min="11" max="11" width="11.7109375" style="87" customWidth="1"/>
    <col min="12" max="16384" width="9.140625" style="87"/>
  </cols>
  <sheetData>
    <row r="1" spans="1:11" ht="15" x14ac:dyDescent="0.2">
      <c r="A1" s="234" t="s">
        <v>192</v>
      </c>
      <c r="B1" s="234"/>
      <c r="C1" s="234"/>
      <c r="D1" s="234"/>
      <c r="E1" s="234"/>
      <c r="F1" s="234"/>
      <c r="G1" s="234"/>
      <c r="H1" s="234"/>
      <c r="I1" s="234"/>
    </row>
    <row r="2" spans="1:11" ht="15" x14ac:dyDescent="0.2">
      <c r="A2" s="235" t="s">
        <v>193</v>
      </c>
      <c r="B2" s="235"/>
      <c r="C2" s="235"/>
      <c r="D2" s="235"/>
      <c r="E2" s="235"/>
      <c r="F2" s="235"/>
      <c r="G2" s="235"/>
      <c r="H2" s="235"/>
      <c r="I2" s="235"/>
    </row>
    <row r="3" spans="1:11" s="89" customFormat="1" ht="19.5" x14ac:dyDescent="0.4">
      <c r="A3" s="88" t="s">
        <v>116</v>
      </c>
    </row>
    <row r="4" spans="1:11" ht="15" customHeight="1" x14ac:dyDescent="0.2">
      <c r="A4" s="90"/>
    </row>
    <row r="5" spans="1:11" ht="14.25" customHeight="1" thickBot="1" x14ac:dyDescent="0.25">
      <c r="A5" s="91" t="s">
        <v>4</v>
      </c>
      <c r="B5" s="244" t="s">
        <v>198</v>
      </c>
      <c r="C5" s="244"/>
      <c r="D5" s="244"/>
      <c r="F5" s="242" t="s">
        <v>124</v>
      </c>
      <c r="G5" s="242"/>
      <c r="H5" s="242"/>
      <c r="I5" s="242"/>
      <c r="K5" s="92"/>
    </row>
    <row r="6" spans="1:11" ht="15" customHeight="1" x14ac:dyDescent="0.2">
      <c r="A6" s="93" t="s">
        <v>41</v>
      </c>
      <c r="B6" s="225">
        <v>42479</v>
      </c>
      <c r="C6" s="226"/>
      <c r="D6" s="226"/>
      <c r="E6" s="94"/>
      <c r="G6" s="95" t="s">
        <v>119</v>
      </c>
      <c r="H6" s="96"/>
      <c r="I6" s="95" t="s">
        <v>121</v>
      </c>
    </row>
    <row r="7" spans="1:11" ht="15" customHeight="1" x14ac:dyDescent="0.2">
      <c r="A7" s="97" t="s">
        <v>40</v>
      </c>
      <c r="B7" s="227" t="s">
        <v>199</v>
      </c>
      <c r="C7" s="228"/>
      <c r="D7" s="228"/>
      <c r="E7" s="89"/>
      <c r="G7" s="98" t="s">
        <v>120</v>
      </c>
      <c r="I7" s="98" t="s">
        <v>120</v>
      </c>
    </row>
    <row r="8" spans="1:11" ht="15" customHeight="1" thickBot="1" x14ac:dyDescent="0.25">
      <c r="A8" s="97" t="s">
        <v>1</v>
      </c>
      <c r="B8" s="228" t="s">
        <v>200</v>
      </c>
      <c r="C8" s="228"/>
      <c r="D8" s="228"/>
      <c r="E8" s="89"/>
      <c r="F8" s="99" t="s">
        <v>125</v>
      </c>
      <c r="G8" s="100">
        <f>CON_Target_2014_2015</f>
        <v>34251</v>
      </c>
      <c r="H8" s="99" t="s">
        <v>126</v>
      </c>
      <c r="I8" s="101">
        <f>CON_Target_2016_2017</f>
        <v>26718</v>
      </c>
    </row>
    <row r="9" spans="1:11" ht="15" customHeight="1" x14ac:dyDescent="0.2">
      <c r="A9" s="97" t="s">
        <v>2</v>
      </c>
      <c r="B9" s="229" t="s">
        <v>201</v>
      </c>
      <c r="C9" s="230"/>
      <c r="D9" s="230"/>
      <c r="E9" s="89"/>
      <c r="F9" s="99" t="s">
        <v>3</v>
      </c>
      <c r="G9" s="102">
        <f>CON_2014_MWH+CON_2015_MWH</f>
        <v>36456.630000000005</v>
      </c>
    </row>
    <row r="10" spans="1:11" ht="15" customHeight="1" thickBot="1" x14ac:dyDescent="0.25">
      <c r="A10" s="97"/>
      <c r="B10" s="103"/>
      <c r="C10" s="89"/>
      <c r="D10" s="89"/>
      <c r="E10" s="89"/>
      <c r="F10" s="99" t="s">
        <v>195</v>
      </c>
      <c r="G10" s="104">
        <f>G9-G8</f>
        <v>2205.6300000000047</v>
      </c>
    </row>
    <row r="11" spans="1:11" s="89" customFormat="1" ht="13.5" thickBot="1" x14ac:dyDescent="0.25">
      <c r="A11" s="243" t="s">
        <v>33</v>
      </c>
      <c r="B11" s="243"/>
      <c r="C11" s="243"/>
      <c r="D11" s="243"/>
      <c r="E11" s="105"/>
      <c r="H11" s="87"/>
      <c r="I11" s="87"/>
    </row>
    <row r="12" spans="1:11" s="89" customFormat="1" x14ac:dyDescent="0.2">
      <c r="A12" s="237" t="s">
        <v>35</v>
      </c>
      <c r="B12" s="237"/>
      <c r="C12" s="241" t="s">
        <v>117</v>
      </c>
      <c r="D12" s="237"/>
      <c r="F12" s="87"/>
      <c r="G12" s="87"/>
      <c r="H12" s="87"/>
      <c r="I12" s="87"/>
    </row>
    <row r="13" spans="1:11" ht="38.25" x14ac:dyDescent="0.2">
      <c r="A13" s="106" t="s">
        <v>37</v>
      </c>
      <c r="B13" s="107" t="s">
        <v>36</v>
      </c>
      <c r="C13" s="107" t="s">
        <v>122</v>
      </c>
      <c r="D13" s="107" t="s">
        <v>123</v>
      </c>
    </row>
    <row r="14" spans="1:11" ht="15" customHeight="1" x14ac:dyDescent="0.2">
      <c r="A14" s="78">
        <v>182471</v>
      </c>
      <c r="B14" s="79">
        <v>34251</v>
      </c>
      <c r="C14" s="78">
        <v>175550</v>
      </c>
      <c r="D14" s="79">
        <v>26718</v>
      </c>
    </row>
    <row r="15" spans="1:11" ht="15" customHeight="1" thickBot="1" x14ac:dyDescent="0.25">
      <c r="A15" s="89"/>
      <c r="B15" s="89"/>
      <c r="C15" s="89"/>
      <c r="D15" s="89"/>
      <c r="E15" s="89"/>
      <c r="F15" s="89"/>
      <c r="G15" s="89"/>
    </row>
    <row r="16" spans="1:11" ht="13.5" thickTop="1" x14ac:dyDescent="0.2">
      <c r="A16" s="238" t="s">
        <v>3</v>
      </c>
      <c r="B16" s="238"/>
      <c r="C16" s="238"/>
      <c r="D16" s="238"/>
      <c r="E16" s="238"/>
      <c r="F16" s="238"/>
      <c r="G16" s="238"/>
    </row>
    <row r="17" spans="1:7" ht="15" customHeight="1" x14ac:dyDescent="0.2">
      <c r="A17" s="108"/>
      <c r="C17" s="237" t="s">
        <v>74</v>
      </c>
      <c r="D17" s="237"/>
      <c r="F17" s="237" t="s">
        <v>118</v>
      </c>
      <c r="G17" s="237"/>
    </row>
    <row r="18" spans="1:7" ht="30.75" customHeight="1" x14ac:dyDescent="0.2">
      <c r="B18" s="109" t="s">
        <v>24</v>
      </c>
      <c r="C18" s="110" t="s">
        <v>7</v>
      </c>
      <c r="D18" s="110" t="s">
        <v>8</v>
      </c>
      <c r="F18" s="110" t="s">
        <v>7</v>
      </c>
      <c r="G18" s="110" t="s">
        <v>8</v>
      </c>
    </row>
    <row r="19" spans="1:7" ht="15" customHeight="1" x14ac:dyDescent="0.2">
      <c r="B19" s="15" t="s">
        <v>9</v>
      </c>
      <c r="C19" s="80">
        <v>1673.6</v>
      </c>
      <c r="D19" s="81">
        <v>567098</v>
      </c>
      <c r="F19" s="80">
        <v>1725.86</v>
      </c>
      <c r="G19" s="81">
        <v>566285</v>
      </c>
    </row>
    <row r="20" spans="1:7" ht="15" customHeight="1" x14ac:dyDescent="0.2">
      <c r="B20" s="15" t="s">
        <v>10</v>
      </c>
      <c r="C20" s="80">
        <v>3757.56</v>
      </c>
      <c r="D20" s="81">
        <v>645576</v>
      </c>
      <c r="F20" s="80">
        <v>604.41999999999996</v>
      </c>
      <c r="G20" s="81">
        <v>172394</v>
      </c>
    </row>
    <row r="21" spans="1:7" ht="15" customHeight="1" x14ac:dyDescent="0.2">
      <c r="B21" s="15" t="s">
        <v>11</v>
      </c>
      <c r="C21" s="80">
        <v>8640.51</v>
      </c>
      <c r="D21" s="81">
        <v>460931</v>
      </c>
      <c r="F21" s="80">
        <v>10169.02</v>
      </c>
      <c r="G21" s="81">
        <v>828290</v>
      </c>
    </row>
    <row r="22" spans="1:7" ht="15" customHeight="1" x14ac:dyDescent="0.2">
      <c r="B22" s="15" t="s">
        <v>12</v>
      </c>
      <c r="C22" s="80">
        <v>6060.66</v>
      </c>
      <c r="D22" s="81">
        <v>610198</v>
      </c>
      <c r="F22" s="80">
        <v>3825</v>
      </c>
      <c r="G22" s="81">
        <v>398488</v>
      </c>
    </row>
    <row r="23" spans="1:7" ht="15" customHeight="1" x14ac:dyDescent="0.2">
      <c r="B23" s="15" t="s">
        <v>20</v>
      </c>
      <c r="C23" s="80"/>
      <c r="D23" s="81"/>
      <c r="F23" s="80"/>
      <c r="G23" s="81"/>
    </row>
    <row r="24" spans="1:7" ht="15" customHeight="1" x14ac:dyDescent="0.2">
      <c r="B24" s="111" t="s">
        <v>21</v>
      </c>
      <c r="C24" s="80"/>
      <c r="D24" s="81"/>
      <c r="F24" s="80"/>
      <c r="G24" s="81"/>
    </row>
    <row r="25" spans="1:7" ht="15" customHeight="1" x14ac:dyDescent="0.2">
      <c r="B25" s="111" t="s">
        <v>5</v>
      </c>
      <c r="C25" s="82"/>
      <c r="D25" s="81"/>
      <c r="F25" s="82"/>
      <c r="G25" s="81"/>
    </row>
    <row r="26" spans="1:7" ht="15" customHeight="1" x14ac:dyDescent="0.2">
      <c r="B26" s="83"/>
      <c r="C26" s="82"/>
      <c r="D26" s="81"/>
      <c r="F26" s="82"/>
      <c r="G26" s="81"/>
    </row>
    <row r="27" spans="1:7" ht="15" customHeight="1" x14ac:dyDescent="0.2">
      <c r="B27" s="83"/>
      <c r="C27" s="82"/>
      <c r="D27" s="81"/>
      <c r="F27" s="82"/>
      <c r="G27" s="81"/>
    </row>
    <row r="28" spans="1:7" ht="30.75" customHeight="1" x14ac:dyDescent="0.2">
      <c r="A28" s="239" t="s">
        <v>34</v>
      </c>
      <c r="B28" s="240"/>
      <c r="D28" s="112"/>
      <c r="G28" s="112"/>
    </row>
    <row r="29" spans="1:7" ht="15" customHeight="1" x14ac:dyDescent="0.2">
      <c r="B29" s="84" t="s">
        <v>202</v>
      </c>
      <c r="C29" s="113"/>
      <c r="D29" s="81">
        <v>919955</v>
      </c>
      <c r="F29" s="113"/>
      <c r="G29" s="81">
        <v>424343</v>
      </c>
    </row>
    <row r="30" spans="1:7" ht="15" customHeight="1" x14ac:dyDescent="0.2">
      <c r="B30" s="84"/>
      <c r="C30" s="114"/>
      <c r="D30" s="81"/>
      <c r="F30" s="114"/>
      <c r="G30" s="81"/>
    </row>
    <row r="31" spans="1:7" ht="15" customHeight="1" x14ac:dyDescent="0.2">
      <c r="B31" s="115" t="s">
        <v>6</v>
      </c>
      <c r="C31" s="116">
        <f>SUM(C19:C27)</f>
        <v>20132.330000000002</v>
      </c>
      <c r="D31" s="117">
        <f>SUM(D19:D30)</f>
        <v>3203758</v>
      </c>
      <c r="F31" s="116">
        <f>SUM(F19:F27)</f>
        <v>16324.3</v>
      </c>
      <c r="G31" s="117">
        <f>SUM(G19:G30)</f>
        <v>2389800</v>
      </c>
    </row>
    <row r="32" spans="1:7" ht="15" customHeight="1" x14ac:dyDescent="0.2">
      <c r="A32" s="118"/>
      <c r="B32" s="119"/>
      <c r="C32" s="120"/>
      <c r="D32" s="119"/>
      <c r="E32" s="120"/>
    </row>
    <row r="33" spans="1:9" s="89" customFormat="1" ht="15" customHeight="1" x14ac:dyDescent="0.2">
      <c r="A33" s="91" t="s">
        <v>4</v>
      </c>
      <c r="B33" s="236" t="str">
        <f>CON_Utility_Name</f>
        <v>Public Utility District No. 2 of Grant County</v>
      </c>
      <c r="C33" s="236"/>
      <c r="D33" s="236"/>
      <c r="E33" s="236"/>
      <c r="F33" s="87"/>
      <c r="G33" s="87"/>
    </row>
    <row r="34" spans="1:9" s="89" customFormat="1" x14ac:dyDescent="0.2">
      <c r="A34" s="121" t="s">
        <v>13</v>
      </c>
      <c r="B34" s="232">
        <v>2016</v>
      </c>
      <c r="C34" s="232"/>
      <c r="D34" s="232"/>
      <c r="E34" s="232"/>
    </row>
    <row r="35" spans="1:9" s="89" customFormat="1" x14ac:dyDescent="0.2">
      <c r="A35" s="121"/>
      <c r="B35" s="122"/>
      <c r="C35" s="122"/>
      <c r="D35" s="122"/>
      <c r="E35" s="122"/>
    </row>
    <row r="36" spans="1:9" ht="28.5" customHeight="1" x14ac:dyDescent="0.2">
      <c r="A36" s="231" t="s">
        <v>191</v>
      </c>
      <c r="B36" s="231"/>
      <c r="C36" s="231"/>
      <c r="D36" s="231"/>
      <c r="E36" s="231"/>
      <c r="F36" s="231"/>
      <c r="G36" s="231"/>
      <c r="H36" s="231"/>
      <c r="I36" s="231"/>
    </row>
    <row r="37" spans="1:9" s="76" customFormat="1" ht="270.75" customHeight="1" x14ac:dyDescent="0.2">
      <c r="A37" s="233"/>
      <c r="B37" s="233"/>
      <c r="C37" s="233"/>
      <c r="D37" s="233"/>
      <c r="E37" s="233"/>
      <c r="F37" s="233"/>
      <c r="G37" s="233"/>
      <c r="H37" s="233"/>
      <c r="I37" s="233"/>
    </row>
    <row r="38" spans="1:9" s="76" customFormat="1" x14ac:dyDescent="0.2"/>
    <row r="39" spans="1:9" s="76" customFormat="1" x14ac:dyDescent="0.2"/>
    <row r="40" spans="1:9" s="76" customFormat="1" x14ac:dyDescent="0.2"/>
    <row r="41" spans="1:9" s="76" customFormat="1" x14ac:dyDescent="0.2"/>
    <row r="42" spans="1:9" s="76" customFormat="1" x14ac:dyDescent="0.2"/>
    <row r="43" spans="1:9" s="76" customFormat="1" x14ac:dyDescent="0.2"/>
    <row r="44" spans="1:9" s="76" customFormat="1" x14ac:dyDescent="0.2"/>
    <row r="45" spans="1:9" s="76" customFormat="1" x14ac:dyDescent="0.2"/>
    <row r="46" spans="1:9" s="76" customFormat="1" x14ac:dyDescent="0.2"/>
    <row r="47" spans="1:9" s="76" customFormat="1" x14ac:dyDescent="0.2"/>
    <row r="48" spans="1:9" s="76" customFormat="1" x14ac:dyDescent="0.2"/>
    <row r="49" s="76" customFormat="1" x14ac:dyDescent="0.2"/>
    <row r="50" s="76" customFormat="1" x14ac:dyDescent="0.2"/>
    <row r="51" s="76" customFormat="1" x14ac:dyDescent="0.2"/>
    <row r="52" s="76" customFormat="1" x14ac:dyDescent="0.2"/>
    <row r="53" s="76" customFormat="1" x14ac:dyDescent="0.2"/>
    <row r="54" s="76" customFormat="1" x14ac:dyDescent="0.2"/>
    <row r="55" s="76" customFormat="1" x14ac:dyDescent="0.2"/>
    <row r="56" s="76" customFormat="1" x14ac:dyDescent="0.2"/>
  </sheetData>
  <mergeCells count="20">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s>
  <hyperlinks>
    <hyperlink ref="B9" r:id="rId1"/>
  </hyperlinks>
  <pageMargins left="0.7" right="0.7" top="0.75" bottom="0.75" header="0.3" footer="0.3"/>
  <pageSetup scale="98" fitToHeight="0" orientation="landscape" r:id="rId2"/>
  <rowBreaks count="1" manualBreakCount="1">
    <brk id="31"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topLeftCell="A79" zoomScaleNormal="100" zoomScaleSheetLayoutView="100" workbookViewId="0">
      <selection activeCell="M40" sqref="M40"/>
    </sheetView>
  </sheetViews>
  <sheetFormatPr defaultColWidth="9.140625" defaultRowHeight="12.75" x14ac:dyDescent="0.2"/>
  <cols>
    <col min="1" max="1" width="50.85546875" style="1" customWidth="1"/>
    <col min="2" max="2" width="11.7109375" style="1" customWidth="1"/>
    <col min="3" max="3" width="10.28515625" style="1" customWidth="1"/>
    <col min="4" max="4" width="16.42578125" style="1" customWidth="1"/>
    <col min="5" max="5" width="10.7109375" style="1" customWidth="1"/>
    <col min="6" max="6" width="14.85546875" style="1" customWidth="1"/>
    <col min="7" max="7" width="12.85546875" style="1" customWidth="1"/>
    <col min="8" max="12" width="10.7109375" style="1" customWidth="1"/>
    <col min="13" max="13" width="17.8554687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45" t="s">
        <v>192</v>
      </c>
      <c r="B1" s="245"/>
      <c r="C1" s="245"/>
      <c r="D1" s="245"/>
      <c r="E1" s="245"/>
      <c r="F1" s="245"/>
      <c r="G1" s="245"/>
      <c r="H1" s="245"/>
      <c r="I1" s="245"/>
      <c r="J1" s="245"/>
      <c r="K1" s="245"/>
      <c r="L1" s="245"/>
      <c r="M1" s="245"/>
      <c r="N1" s="245"/>
    </row>
    <row r="2" spans="1:33" ht="15" customHeight="1" x14ac:dyDescent="0.2">
      <c r="A2" s="246" t="s">
        <v>193</v>
      </c>
      <c r="B2" s="246"/>
      <c r="C2" s="246"/>
      <c r="D2" s="246"/>
      <c r="E2" s="246"/>
      <c r="F2" s="246"/>
      <c r="G2" s="246"/>
      <c r="H2" s="246"/>
      <c r="I2" s="246"/>
      <c r="J2" s="246"/>
      <c r="K2" s="246"/>
      <c r="L2" s="246"/>
      <c r="M2" s="246"/>
      <c r="N2" s="246"/>
    </row>
    <row r="3" spans="1:33" s="7" customFormat="1" ht="19.5" x14ac:dyDescent="0.4">
      <c r="A3" s="26" t="s">
        <v>127</v>
      </c>
      <c r="B3" s="26"/>
      <c r="C3" s="26"/>
      <c r="AB3" s="24" t="s">
        <v>27</v>
      </c>
      <c r="AG3" s="21"/>
    </row>
    <row r="4" spans="1:33" ht="14.25" x14ac:dyDescent="0.2">
      <c r="A4" s="46"/>
      <c r="B4" s="46"/>
      <c r="C4" s="46"/>
      <c r="H4" s="253" t="s">
        <v>26</v>
      </c>
      <c r="I4" s="254"/>
      <c r="J4" s="254"/>
      <c r="K4" s="254"/>
      <c r="L4" s="254"/>
      <c r="M4" s="255"/>
      <c r="AB4" s="25" t="s">
        <v>28</v>
      </c>
      <c r="AG4" s="19"/>
    </row>
    <row r="5" spans="1:33" ht="15" customHeight="1" x14ac:dyDescent="0.2">
      <c r="A5" s="3" t="s">
        <v>4</v>
      </c>
      <c r="B5" s="244" t="s">
        <v>198</v>
      </c>
      <c r="C5" s="244"/>
      <c r="D5" s="244"/>
      <c r="H5" s="29"/>
      <c r="I5" s="7"/>
      <c r="J5" s="7"/>
      <c r="K5" s="7"/>
      <c r="L5" s="28" t="s">
        <v>99</v>
      </c>
      <c r="M5" s="217">
        <f>4182616206/1000</f>
        <v>4182616.2059999998</v>
      </c>
      <c r="AB5" s="25" t="s">
        <v>29</v>
      </c>
      <c r="AG5" s="19"/>
    </row>
    <row r="6" spans="1:33" ht="15" customHeight="1" thickBot="1" x14ac:dyDescent="0.25">
      <c r="A6" s="4" t="s">
        <v>41</v>
      </c>
      <c r="B6" s="269">
        <v>42490</v>
      </c>
      <c r="C6" s="269"/>
      <c r="D6" s="269"/>
      <c r="H6" s="29"/>
      <c r="I6" s="7"/>
      <c r="J6" s="7"/>
      <c r="K6" s="7"/>
      <c r="L6" s="28" t="s">
        <v>132</v>
      </c>
      <c r="M6" s="217">
        <f>4539976322/1000</f>
        <v>4539976.3219999997</v>
      </c>
      <c r="AB6" s="25" t="s">
        <v>30</v>
      </c>
      <c r="AG6" s="20"/>
    </row>
    <row r="7" spans="1:33" ht="15" customHeight="1" x14ac:dyDescent="0.2">
      <c r="A7" s="5" t="s">
        <v>0</v>
      </c>
      <c r="B7" s="270" t="s">
        <v>211</v>
      </c>
      <c r="C7" s="270"/>
      <c r="D7" s="270"/>
      <c r="H7" s="29"/>
      <c r="I7" s="7"/>
      <c r="J7" s="7"/>
      <c r="K7" s="7"/>
      <c r="L7" s="28" t="s">
        <v>100</v>
      </c>
      <c r="M7" s="218">
        <f>IF(REN_Load_2015+REN_Load_2014&gt;0,AVERAGE(REN_Load_2015,REN_Load_2014),0)</f>
        <v>4361296.2639999995</v>
      </c>
    </row>
    <row r="8" spans="1:33" ht="15" customHeight="1" x14ac:dyDescent="0.2">
      <c r="A8" s="5" t="s">
        <v>1</v>
      </c>
      <c r="B8" s="270" t="s">
        <v>203</v>
      </c>
      <c r="C8" s="270"/>
      <c r="D8" s="270"/>
      <c r="H8" s="29"/>
      <c r="I8" s="7"/>
      <c r="J8" s="7"/>
      <c r="K8" s="7"/>
      <c r="L8" s="28" t="s">
        <v>133</v>
      </c>
      <c r="M8" s="180">
        <v>0.09</v>
      </c>
    </row>
    <row r="9" spans="1:33" ht="15" customHeight="1" x14ac:dyDescent="0.2">
      <c r="A9" s="5" t="s">
        <v>2</v>
      </c>
      <c r="B9" s="271" t="s">
        <v>204</v>
      </c>
      <c r="C9" s="272"/>
      <c r="D9" s="272"/>
      <c r="H9" s="33"/>
      <c r="I9" s="7"/>
      <c r="J9" s="7"/>
      <c r="K9" s="7"/>
      <c r="L9" s="28" t="s">
        <v>141</v>
      </c>
      <c r="M9" s="218">
        <f>ROUND(M7*M8,0)</f>
        <v>392517</v>
      </c>
    </row>
    <row r="10" spans="1:33" ht="15" customHeight="1" x14ac:dyDescent="0.2">
      <c r="A10" s="5"/>
      <c r="B10" s="5"/>
      <c r="C10" s="5"/>
      <c r="D10" s="18"/>
      <c r="H10" s="30"/>
      <c r="I10" s="31"/>
      <c r="J10" s="31"/>
      <c r="K10" s="31"/>
      <c r="L10" s="32" t="s">
        <v>134</v>
      </c>
      <c r="M10" s="219">
        <f>SUM(C20:N20)</f>
        <v>392517</v>
      </c>
    </row>
    <row r="11" spans="1:33" ht="15" customHeight="1" x14ac:dyDescent="0.2">
      <c r="A11" s="3" t="s">
        <v>128</v>
      </c>
      <c r="B11" s="42"/>
      <c r="C11" s="42"/>
    </row>
    <row r="12" spans="1:33" ht="15" customHeight="1" x14ac:dyDescent="0.2">
      <c r="B12" s="46"/>
      <c r="C12" s="46"/>
      <c r="F12" s="256" t="s">
        <v>139</v>
      </c>
      <c r="G12" s="257"/>
      <c r="H12" s="257"/>
      <c r="I12" s="257"/>
      <c r="J12" s="257"/>
      <c r="K12" s="257"/>
      <c r="L12" s="257"/>
      <c r="M12" s="258"/>
    </row>
    <row r="13" spans="1:33" s="22" customFormat="1" ht="14.25" customHeight="1" x14ac:dyDescent="0.25">
      <c r="A13" s="1"/>
      <c r="B13" s="23"/>
      <c r="C13" s="23"/>
      <c r="F13" s="29" t="s">
        <v>72</v>
      </c>
      <c r="G13" s="36"/>
      <c r="H13" s="36"/>
      <c r="I13" s="36"/>
      <c r="J13" s="36"/>
      <c r="K13" s="36"/>
      <c r="L13" s="7"/>
      <c r="M13" s="44">
        <f>'Renewable Cost Report'!K30+'Renewable Cost Report'!E62</f>
        <v>1433648.23</v>
      </c>
    </row>
    <row r="14" spans="1:33" x14ac:dyDescent="0.2">
      <c r="B14" s="46"/>
      <c r="C14" s="46"/>
      <c r="F14" s="29" t="s">
        <v>140</v>
      </c>
      <c r="G14" s="34"/>
      <c r="H14" s="34"/>
      <c r="I14" s="34"/>
      <c r="J14" s="34"/>
      <c r="K14" s="7"/>
      <c r="L14" s="7"/>
      <c r="M14" s="123">
        <v>181971000</v>
      </c>
      <c r="N14" s="1" t="s">
        <v>219</v>
      </c>
    </row>
    <row r="15" spans="1:33" x14ac:dyDescent="0.2">
      <c r="F15" s="37" t="s">
        <v>73</v>
      </c>
      <c r="G15" s="35"/>
      <c r="H15" s="35"/>
      <c r="I15" s="35"/>
      <c r="J15" s="35"/>
      <c r="K15" s="31"/>
      <c r="L15" s="31"/>
      <c r="M15" s="45">
        <f>IF(REN_RetailRevenueRequirement_2016&gt;0,REN_Expenditure_Amount_2016/REN_RetailRevenueRequirement_2016,"")</f>
        <v>7.878443433294316E-3</v>
      </c>
    </row>
    <row r="16" spans="1:33" ht="17.45" customHeight="1" x14ac:dyDescent="0.2">
      <c r="H16" s="265"/>
      <c r="I16" s="265"/>
      <c r="J16" s="265"/>
      <c r="K16" s="265"/>
      <c r="L16" s="265"/>
      <c r="M16" s="16"/>
      <c r="N16" s="11"/>
      <c r="O16" s="11"/>
    </row>
    <row r="17" spans="1:33" ht="36" customHeight="1" x14ac:dyDescent="0.2">
      <c r="A17" s="9"/>
      <c r="C17" s="52" t="s">
        <v>14</v>
      </c>
      <c r="D17" s="53" t="s">
        <v>15</v>
      </c>
      <c r="E17" s="53" t="s">
        <v>173</v>
      </c>
      <c r="F17" s="53" t="s">
        <v>174</v>
      </c>
      <c r="G17" s="53" t="s">
        <v>16</v>
      </c>
      <c r="H17" s="53" t="s">
        <v>23</v>
      </c>
      <c r="I17" s="53" t="s">
        <v>17</v>
      </c>
      <c r="J17" s="53" t="s">
        <v>172</v>
      </c>
      <c r="K17" s="53" t="s">
        <v>176</v>
      </c>
      <c r="L17" s="60" t="s">
        <v>177</v>
      </c>
      <c r="M17" s="52" t="s">
        <v>185</v>
      </c>
      <c r="N17" s="54" t="s">
        <v>186</v>
      </c>
      <c r="O17" s="11"/>
    </row>
    <row r="18" spans="1:33" ht="15" customHeight="1" x14ac:dyDescent="0.2">
      <c r="B18" s="4" t="s">
        <v>25</v>
      </c>
      <c r="C18" s="55">
        <f>E40+E41</f>
        <v>366226</v>
      </c>
      <c r="D18" s="49">
        <f t="shared" ref="D18:L18" si="0">SUMIF($C40:$C60,D$17,$E40:$E60)</f>
        <v>0</v>
      </c>
      <c r="E18" s="49">
        <f t="shared" si="0"/>
        <v>0</v>
      </c>
      <c r="F18" s="49">
        <f t="shared" si="0"/>
        <v>0</v>
      </c>
      <c r="G18" s="49">
        <f t="shared" si="0"/>
        <v>0</v>
      </c>
      <c r="H18" s="49">
        <f t="shared" si="0"/>
        <v>0</v>
      </c>
      <c r="I18" s="49">
        <f t="shared" si="0"/>
        <v>0</v>
      </c>
      <c r="J18" s="49">
        <f t="shared" si="0"/>
        <v>0</v>
      </c>
      <c r="K18" s="49">
        <f t="shared" si="0"/>
        <v>0</v>
      </c>
      <c r="L18" s="61">
        <f t="shared" si="0"/>
        <v>0</v>
      </c>
      <c r="M18" s="55">
        <f>SUM(F40:F60)</f>
        <v>0</v>
      </c>
      <c r="N18" s="56"/>
      <c r="O18" s="75"/>
    </row>
    <row r="19" spans="1:33" ht="16.5" customHeight="1" x14ac:dyDescent="0.2">
      <c r="B19" s="4" t="s">
        <v>18</v>
      </c>
      <c r="C19" s="57"/>
      <c r="D19" s="50">
        <f>16965+9326</f>
        <v>26291</v>
      </c>
      <c r="E19" s="50">
        <f t="shared" ref="E19:L19" si="1">SUMIF($D67:$D91,E$17,$G67:$G91)</f>
        <v>0</v>
      </c>
      <c r="F19" s="50">
        <f t="shared" si="1"/>
        <v>0</v>
      </c>
      <c r="G19" s="50">
        <f t="shared" si="1"/>
        <v>0</v>
      </c>
      <c r="H19" s="50">
        <f t="shared" si="1"/>
        <v>0</v>
      </c>
      <c r="I19" s="50">
        <f t="shared" si="1"/>
        <v>0</v>
      </c>
      <c r="J19" s="50">
        <f t="shared" si="1"/>
        <v>0</v>
      </c>
      <c r="K19" s="50">
        <f t="shared" si="1"/>
        <v>0</v>
      </c>
      <c r="L19" s="62">
        <f t="shared" si="1"/>
        <v>0</v>
      </c>
      <c r="M19" s="64">
        <f>SUM(H67:H91)</f>
        <v>0</v>
      </c>
      <c r="N19" s="58">
        <f>SUM(I67:I91)</f>
        <v>0</v>
      </c>
      <c r="O19" s="11"/>
    </row>
    <row r="20" spans="1:33" ht="16.5" customHeight="1" x14ac:dyDescent="0.2">
      <c r="B20" s="5" t="s">
        <v>131</v>
      </c>
      <c r="C20" s="59">
        <f>C18</f>
        <v>366226</v>
      </c>
      <c r="D20" s="51">
        <f t="shared" ref="D20:K20" si="2">D18+D19</f>
        <v>26291</v>
      </c>
      <c r="E20" s="51">
        <f t="shared" si="2"/>
        <v>0</v>
      </c>
      <c r="F20" s="51">
        <f t="shared" si="2"/>
        <v>0</v>
      </c>
      <c r="G20" s="51">
        <f t="shared" si="2"/>
        <v>0</v>
      </c>
      <c r="H20" s="51">
        <f t="shared" si="2"/>
        <v>0</v>
      </c>
      <c r="I20" s="51">
        <f t="shared" si="2"/>
        <v>0</v>
      </c>
      <c r="J20" s="51">
        <f t="shared" si="2"/>
        <v>0</v>
      </c>
      <c r="K20" s="51">
        <f t="shared" si="2"/>
        <v>0</v>
      </c>
      <c r="L20" s="63"/>
      <c r="M20" s="59">
        <f>M18+M19</f>
        <v>0</v>
      </c>
      <c r="N20" s="58">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76" t="s">
        <v>22</v>
      </c>
      <c r="B36" s="6"/>
      <c r="C36" s="6"/>
      <c r="D36" s="9" t="s">
        <v>4</v>
      </c>
      <c r="E36" s="266" t="str">
        <f>B5</f>
        <v>Public Utility District No. 2 of Grant County</v>
      </c>
      <c r="F36" s="267"/>
      <c r="G36" s="268"/>
    </row>
    <row r="37" spans="1:33" ht="15" customHeight="1" x14ac:dyDescent="0.2">
      <c r="A37" s="276"/>
      <c r="D37" s="9" t="s">
        <v>13</v>
      </c>
      <c r="E37" s="273">
        <v>2016</v>
      </c>
      <c r="F37" s="274"/>
      <c r="G37" s="275"/>
    </row>
    <row r="38" spans="1:33" ht="15" customHeight="1" x14ac:dyDescent="0.2">
      <c r="D38" s="9"/>
      <c r="E38" s="42"/>
      <c r="F38" s="8"/>
      <c r="G38" s="8"/>
    </row>
    <row r="39" spans="1:33" s="10" customFormat="1" ht="52.5" customHeight="1" x14ac:dyDescent="0.2">
      <c r="A39" s="27" t="s">
        <v>19</v>
      </c>
      <c r="B39" s="65" t="s">
        <v>31</v>
      </c>
      <c r="C39" s="47" t="s">
        <v>175</v>
      </c>
      <c r="D39" s="66" t="s">
        <v>178</v>
      </c>
      <c r="E39" s="47" t="s">
        <v>190</v>
      </c>
      <c r="F39" s="47" t="s">
        <v>189</v>
      </c>
      <c r="G39" s="279" t="s">
        <v>184</v>
      </c>
      <c r="H39" s="279"/>
      <c r="I39" s="279"/>
      <c r="J39" s="279"/>
      <c r="K39" s="279"/>
      <c r="L39" s="14"/>
      <c r="M39" s="14"/>
      <c r="N39" s="14"/>
      <c r="AG39" s="7"/>
    </row>
    <row r="40" spans="1:33" ht="15" customHeight="1" x14ac:dyDescent="0.2">
      <c r="A40" s="124" t="s">
        <v>205</v>
      </c>
      <c r="B40" s="125" t="s">
        <v>220</v>
      </c>
      <c r="C40" s="211" t="s">
        <v>14</v>
      </c>
      <c r="D40" s="80" t="s">
        <v>179</v>
      </c>
      <c r="E40" s="126">
        <v>183113</v>
      </c>
      <c r="F40" s="49">
        <f>IF(D40="Yes",0.2*E40,0)</f>
        <v>0</v>
      </c>
      <c r="G40" s="250"/>
      <c r="H40" s="251"/>
      <c r="I40" s="251"/>
      <c r="J40" s="251"/>
      <c r="K40" s="252"/>
      <c r="L40" s="14"/>
      <c r="M40" s="293">
        <f>E40+E41</f>
        <v>366226</v>
      </c>
      <c r="N40" s="14"/>
    </row>
    <row r="41" spans="1:33" ht="15" customHeight="1" x14ac:dyDescent="0.2">
      <c r="A41" s="124" t="s">
        <v>206</v>
      </c>
      <c r="B41" s="125" t="s">
        <v>220</v>
      </c>
      <c r="C41" s="211" t="s">
        <v>14</v>
      </c>
      <c r="D41" s="80" t="s">
        <v>179</v>
      </c>
      <c r="E41" s="129">
        <v>183113</v>
      </c>
      <c r="F41" s="67">
        <f t="shared" ref="F41:F60" si="3">IF(D41="Yes",0.2*E41,0)</f>
        <v>0</v>
      </c>
      <c r="G41" s="247"/>
      <c r="H41" s="248"/>
      <c r="I41" s="248"/>
      <c r="J41" s="248"/>
      <c r="K41" s="249"/>
      <c r="L41" s="14"/>
      <c r="M41" s="14"/>
      <c r="N41" s="14"/>
    </row>
    <row r="42" spans="1:33" ht="15" customHeight="1" x14ac:dyDescent="0.2">
      <c r="A42" s="127"/>
      <c r="B42" s="128"/>
      <c r="C42" s="212"/>
      <c r="D42" s="80" t="s">
        <v>179</v>
      </c>
      <c r="E42" s="129"/>
      <c r="F42" s="67">
        <f t="shared" si="3"/>
        <v>0</v>
      </c>
      <c r="G42" s="139"/>
      <c r="H42" s="140"/>
      <c r="I42" s="140"/>
      <c r="J42" s="140"/>
      <c r="K42" s="141"/>
      <c r="L42" s="14"/>
      <c r="M42" s="14"/>
      <c r="N42" s="14"/>
    </row>
    <row r="43" spans="1:33" ht="15" customHeight="1" x14ac:dyDescent="0.2">
      <c r="A43" s="130"/>
      <c r="B43" s="131"/>
      <c r="C43" s="213"/>
      <c r="D43" s="80" t="s">
        <v>179</v>
      </c>
      <c r="E43" s="129"/>
      <c r="F43" s="67">
        <f t="shared" si="3"/>
        <v>0</v>
      </c>
      <c r="G43" s="247"/>
      <c r="H43" s="248"/>
      <c r="I43" s="248"/>
      <c r="J43" s="248"/>
      <c r="K43" s="249"/>
      <c r="L43" s="14"/>
      <c r="M43" s="14"/>
      <c r="N43" s="14"/>
    </row>
    <row r="44" spans="1:33" ht="15" customHeight="1" x14ac:dyDescent="0.2">
      <c r="A44" s="132"/>
      <c r="B44" s="133"/>
      <c r="C44" s="214"/>
      <c r="D44" s="80" t="s">
        <v>179</v>
      </c>
      <c r="E44" s="129"/>
      <c r="F44" s="67">
        <f t="shared" si="3"/>
        <v>0</v>
      </c>
      <c r="G44" s="247"/>
      <c r="H44" s="248"/>
      <c r="I44" s="248"/>
      <c r="J44" s="248"/>
      <c r="K44" s="249"/>
      <c r="L44" s="14"/>
      <c r="M44" s="14"/>
      <c r="N44" s="14"/>
    </row>
    <row r="45" spans="1:33" ht="15" customHeight="1" x14ac:dyDescent="0.2">
      <c r="A45" s="134"/>
      <c r="B45" s="135"/>
      <c r="C45" s="215"/>
      <c r="D45" s="80" t="s">
        <v>179</v>
      </c>
      <c r="E45" s="129"/>
      <c r="F45" s="67">
        <f t="shared" si="3"/>
        <v>0</v>
      </c>
      <c r="G45" s="247"/>
      <c r="H45" s="248"/>
      <c r="I45" s="248"/>
      <c r="J45" s="248"/>
      <c r="K45" s="249"/>
      <c r="L45" s="14"/>
      <c r="M45" s="14"/>
      <c r="N45" s="14"/>
    </row>
    <row r="46" spans="1:33" ht="15" customHeight="1" x14ac:dyDescent="0.2">
      <c r="A46" s="134"/>
      <c r="B46" s="135"/>
      <c r="C46" s="215"/>
      <c r="D46" s="80" t="s">
        <v>179</v>
      </c>
      <c r="E46" s="129"/>
      <c r="F46" s="67">
        <f t="shared" si="3"/>
        <v>0</v>
      </c>
      <c r="G46" s="247"/>
      <c r="H46" s="248"/>
      <c r="I46" s="248"/>
      <c r="J46" s="248"/>
      <c r="K46" s="249"/>
      <c r="L46" s="14"/>
      <c r="M46" s="14"/>
      <c r="N46" s="14"/>
    </row>
    <row r="47" spans="1:33" ht="15" customHeight="1" x14ac:dyDescent="0.2">
      <c r="A47" s="134"/>
      <c r="B47" s="135"/>
      <c r="C47" s="215"/>
      <c r="D47" s="80" t="s">
        <v>179</v>
      </c>
      <c r="E47" s="129"/>
      <c r="F47" s="67">
        <f t="shared" si="3"/>
        <v>0</v>
      </c>
      <c r="G47" s="247"/>
      <c r="H47" s="248"/>
      <c r="I47" s="248"/>
      <c r="J47" s="248"/>
      <c r="K47" s="249"/>
      <c r="L47" s="14"/>
      <c r="M47" s="14"/>
      <c r="N47" s="14"/>
    </row>
    <row r="48" spans="1:33" ht="15" customHeight="1" x14ac:dyDescent="0.2">
      <c r="A48" s="134"/>
      <c r="B48" s="135"/>
      <c r="C48" s="215"/>
      <c r="D48" s="80" t="s">
        <v>179</v>
      </c>
      <c r="E48" s="129"/>
      <c r="F48" s="67">
        <f t="shared" si="3"/>
        <v>0</v>
      </c>
      <c r="G48" s="247"/>
      <c r="H48" s="248"/>
      <c r="I48" s="248"/>
      <c r="J48" s="248"/>
      <c r="K48" s="249"/>
      <c r="L48" s="14"/>
      <c r="M48" s="14"/>
      <c r="N48" s="14"/>
    </row>
    <row r="49" spans="1:14" ht="15" customHeight="1" x14ac:dyDescent="0.2">
      <c r="A49" s="134"/>
      <c r="B49" s="135"/>
      <c r="C49" s="215"/>
      <c r="D49" s="80" t="s">
        <v>179</v>
      </c>
      <c r="E49" s="129"/>
      <c r="F49" s="67">
        <f t="shared" si="3"/>
        <v>0</v>
      </c>
      <c r="G49" s="247"/>
      <c r="H49" s="248"/>
      <c r="I49" s="248"/>
      <c r="J49" s="248"/>
      <c r="K49" s="249"/>
      <c r="L49" s="14"/>
      <c r="M49" s="14"/>
      <c r="N49" s="14"/>
    </row>
    <row r="50" spans="1:14" ht="15" customHeight="1" x14ac:dyDescent="0.2">
      <c r="A50" s="134"/>
      <c r="B50" s="135"/>
      <c r="C50" s="215"/>
      <c r="D50" s="80" t="s">
        <v>179</v>
      </c>
      <c r="E50" s="129"/>
      <c r="F50" s="67">
        <f t="shared" si="3"/>
        <v>0</v>
      </c>
      <c r="G50" s="247"/>
      <c r="H50" s="248"/>
      <c r="I50" s="248"/>
      <c r="J50" s="248"/>
      <c r="K50" s="249"/>
      <c r="L50" s="14"/>
      <c r="M50" s="14"/>
      <c r="N50" s="14"/>
    </row>
    <row r="51" spans="1:14" ht="15" customHeight="1" x14ac:dyDescent="0.2">
      <c r="A51" s="134"/>
      <c r="B51" s="135"/>
      <c r="C51" s="215"/>
      <c r="D51" s="80" t="s">
        <v>179</v>
      </c>
      <c r="E51" s="129"/>
      <c r="F51" s="67">
        <f t="shared" si="3"/>
        <v>0</v>
      </c>
      <c r="G51" s="247"/>
      <c r="H51" s="248"/>
      <c r="I51" s="248"/>
      <c r="J51" s="248"/>
      <c r="K51" s="249"/>
      <c r="L51" s="14"/>
      <c r="M51" s="14"/>
      <c r="N51" s="14"/>
    </row>
    <row r="52" spans="1:14" ht="15" customHeight="1" x14ac:dyDescent="0.2">
      <c r="A52" s="134"/>
      <c r="B52" s="135"/>
      <c r="C52" s="215"/>
      <c r="D52" s="80" t="s">
        <v>179</v>
      </c>
      <c r="E52" s="129"/>
      <c r="F52" s="67">
        <f t="shared" si="3"/>
        <v>0</v>
      </c>
      <c r="G52" s="247"/>
      <c r="H52" s="248"/>
      <c r="I52" s="248"/>
      <c r="J52" s="248"/>
      <c r="K52" s="249"/>
      <c r="L52" s="14"/>
      <c r="M52" s="14"/>
      <c r="N52" s="14"/>
    </row>
    <row r="53" spans="1:14" ht="15" customHeight="1" x14ac:dyDescent="0.2">
      <c r="A53" s="134"/>
      <c r="B53" s="135"/>
      <c r="C53" s="215"/>
      <c r="D53" s="80" t="s">
        <v>179</v>
      </c>
      <c r="E53" s="129"/>
      <c r="F53" s="67">
        <f t="shared" si="3"/>
        <v>0</v>
      </c>
      <c r="G53" s="247"/>
      <c r="H53" s="248"/>
      <c r="I53" s="248"/>
      <c r="J53" s="248"/>
      <c r="K53" s="249"/>
      <c r="L53" s="14"/>
      <c r="M53" s="14"/>
      <c r="N53" s="14"/>
    </row>
    <row r="54" spans="1:14" ht="15" customHeight="1" x14ac:dyDescent="0.2">
      <c r="A54" s="134"/>
      <c r="B54" s="135"/>
      <c r="C54" s="215"/>
      <c r="D54" s="80" t="s">
        <v>179</v>
      </c>
      <c r="E54" s="129"/>
      <c r="F54" s="67">
        <f t="shared" si="3"/>
        <v>0</v>
      </c>
      <c r="G54" s="247"/>
      <c r="H54" s="248"/>
      <c r="I54" s="248"/>
      <c r="J54" s="248"/>
      <c r="K54" s="249"/>
      <c r="L54" s="14"/>
      <c r="M54" s="14"/>
      <c r="N54" s="14"/>
    </row>
    <row r="55" spans="1:14" ht="15" customHeight="1" x14ac:dyDescent="0.2">
      <c r="A55" s="134"/>
      <c r="B55" s="135"/>
      <c r="C55" s="215"/>
      <c r="D55" s="80" t="s">
        <v>179</v>
      </c>
      <c r="E55" s="129"/>
      <c r="F55" s="67">
        <f t="shared" si="3"/>
        <v>0</v>
      </c>
      <c r="G55" s="247"/>
      <c r="H55" s="248"/>
      <c r="I55" s="248"/>
      <c r="J55" s="248"/>
      <c r="K55" s="249"/>
      <c r="L55" s="14"/>
      <c r="M55" s="14"/>
      <c r="N55" s="14"/>
    </row>
    <row r="56" spans="1:14" ht="15" customHeight="1" x14ac:dyDescent="0.2">
      <c r="A56" s="134"/>
      <c r="B56" s="135"/>
      <c r="C56" s="215"/>
      <c r="D56" s="80" t="s">
        <v>179</v>
      </c>
      <c r="E56" s="129"/>
      <c r="F56" s="67">
        <f t="shared" si="3"/>
        <v>0</v>
      </c>
      <c r="G56" s="247"/>
      <c r="H56" s="248"/>
      <c r="I56" s="248"/>
      <c r="J56" s="248"/>
      <c r="K56" s="249"/>
      <c r="L56" s="14"/>
      <c r="M56" s="14"/>
      <c r="N56" s="14"/>
    </row>
    <row r="57" spans="1:14" ht="15" customHeight="1" x14ac:dyDescent="0.2">
      <c r="A57" s="134"/>
      <c r="B57" s="135"/>
      <c r="C57" s="215"/>
      <c r="D57" s="80" t="s">
        <v>179</v>
      </c>
      <c r="E57" s="129"/>
      <c r="F57" s="67">
        <f t="shared" si="3"/>
        <v>0</v>
      </c>
      <c r="G57" s="247"/>
      <c r="H57" s="248"/>
      <c r="I57" s="248"/>
      <c r="J57" s="248"/>
      <c r="K57" s="249"/>
      <c r="L57" s="14"/>
      <c r="M57" s="14"/>
      <c r="N57" s="14"/>
    </row>
    <row r="58" spans="1:14" ht="15" customHeight="1" x14ac:dyDescent="0.2">
      <c r="A58" s="134"/>
      <c r="B58" s="135"/>
      <c r="C58" s="215"/>
      <c r="D58" s="80" t="s">
        <v>179</v>
      </c>
      <c r="E58" s="129"/>
      <c r="F58" s="67">
        <f t="shared" si="3"/>
        <v>0</v>
      </c>
      <c r="G58" s="247"/>
      <c r="H58" s="248"/>
      <c r="I58" s="248"/>
      <c r="J58" s="248"/>
      <c r="K58" s="249"/>
      <c r="L58" s="14"/>
      <c r="M58" s="14"/>
      <c r="N58" s="14"/>
    </row>
    <row r="59" spans="1:14" ht="15" customHeight="1" x14ac:dyDescent="0.2">
      <c r="A59" s="134"/>
      <c r="B59" s="135"/>
      <c r="C59" s="215"/>
      <c r="D59" s="80" t="s">
        <v>179</v>
      </c>
      <c r="E59" s="129"/>
      <c r="F59" s="67">
        <f t="shared" si="3"/>
        <v>0</v>
      </c>
      <c r="G59" s="247"/>
      <c r="H59" s="248"/>
      <c r="I59" s="248"/>
      <c r="J59" s="248"/>
      <c r="K59" s="249"/>
      <c r="L59" s="14"/>
      <c r="M59" s="14"/>
      <c r="N59" s="14"/>
    </row>
    <row r="60" spans="1:14" ht="15" customHeight="1" x14ac:dyDescent="0.2">
      <c r="A60" s="136"/>
      <c r="B60" s="137"/>
      <c r="C60" s="216"/>
      <c r="D60" s="138" t="s">
        <v>179</v>
      </c>
      <c r="E60" s="78"/>
      <c r="F60" s="68">
        <f t="shared" si="3"/>
        <v>0</v>
      </c>
      <c r="G60" s="259"/>
      <c r="H60" s="260"/>
      <c r="I60" s="260"/>
      <c r="J60" s="260"/>
      <c r="K60" s="261"/>
      <c r="L60" s="14"/>
      <c r="M60" s="14"/>
      <c r="N60" s="14"/>
    </row>
    <row r="61" spans="1:14" ht="15" customHeight="1" x14ac:dyDescent="0.2">
      <c r="D61" s="7"/>
      <c r="E61" s="7"/>
      <c r="F61" s="7"/>
      <c r="G61" s="7"/>
      <c r="H61" s="7"/>
      <c r="I61" s="7"/>
      <c r="J61" s="7"/>
      <c r="K61" s="7"/>
      <c r="L61" s="7"/>
      <c r="M61" s="7"/>
    </row>
    <row r="62" spans="1:14" ht="17.25" customHeight="1" x14ac:dyDescent="0.2">
      <c r="A62" s="276" t="s">
        <v>18</v>
      </c>
      <c r="B62" s="276"/>
      <c r="C62" s="6"/>
      <c r="D62" s="9" t="s">
        <v>4</v>
      </c>
      <c r="E62" s="266" t="str">
        <f>B5</f>
        <v>Public Utility District No. 2 of Grant County</v>
      </c>
      <c r="F62" s="267"/>
      <c r="G62" s="268"/>
    </row>
    <row r="63" spans="1:14" ht="15" customHeight="1" x14ac:dyDescent="0.2">
      <c r="A63" s="276"/>
      <c r="B63" s="276"/>
      <c r="D63" s="9" t="s">
        <v>13</v>
      </c>
      <c r="E63" s="273">
        <v>2016</v>
      </c>
      <c r="F63" s="274"/>
      <c r="G63" s="275"/>
    </row>
    <row r="64" spans="1:14" ht="15" customHeight="1" x14ac:dyDescent="0.2">
      <c r="A64" s="9"/>
      <c r="B64" s="9"/>
      <c r="C64" s="9"/>
      <c r="D64" s="9"/>
      <c r="G64" s="13"/>
      <c r="H64" s="7"/>
    </row>
    <row r="65" spans="1:33" s="10" customFormat="1" ht="38.25" customHeight="1" x14ac:dyDescent="0.2">
      <c r="A65" s="9"/>
      <c r="B65" s="277" t="s">
        <v>31</v>
      </c>
      <c r="C65" s="277" t="s">
        <v>129</v>
      </c>
      <c r="D65" s="262" t="s">
        <v>175</v>
      </c>
      <c r="E65" s="262" t="s">
        <v>178</v>
      </c>
      <c r="F65" s="262" t="s">
        <v>181</v>
      </c>
      <c r="G65" s="74" t="s">
        <v>183</v>
      </c>
      <c r="H65" s="74" t="s">
        <v>180</v>
      </c>
      <c r="I65" s="74" t="s">
        <v>182</v>
      </c>
      <c r="J65" s="264" t="s">
        <v>184</v>
      </c>
      <c r="K65" s="264"/>
      <c r="L65" s="264"/>
      <c r="M65" s="264"/>
      <c r="N65" s="14"/>
      <c r="O65" s="14"/>
      <c r="AG65" s="7"/>
    </row>
    <row r="66" spans="1:33" ht="15" customHeight="1" x14ac:dyDescent="0.2">
      <c r="A66" s="27" t="s">
        <v>19</v>
      </c>
      <c r="B66" s="278"/>
      <c r="C66" s="278"/>
      <c r="D66" s="263"/>
      <c r="E66" s="263"/>
      <c r="F66" s="263"/>
      <c r="G66" s="12" t="s">
        <v>130</v>
      </c>
      <c r="H66" s="48" t="s">
        <v>32</v>
      </c>
      <c r="I66" s="48" t="s">
        <v>32</v>
      </c>
      <c r="J66" s="264"/>
      <c r="K66" s="264"/>
      <c r="L66" s="264"/>
      <c r="M66" s="264"/>
      <c r="N66" s="14"/>
      <c r="O66" s="14"/>
      <c r="AG66" s="10"/>
    </row>
    <row r="67" spans="1:33" ht="15" customHeight="1" x14ac:dyDescent="0.2">
      <c r="A67" s="142" t="s">
        <v>207</v>
      </c>
      <c r="B67" s="143" t="s">
        <v>209</v>
      </c>
      <c r="C67" s="144">
        <v>2015</v>
      </c>
      <c r="D67" s="211" t="s">
        <v>15</v>
      </c>
      <c r="E67" s="80" t="s">
        <v>179</v>
      </c>
      <c r="F67" s="80" t="s">
        <v>179</v>
      </c>
      <c r="G67" s="126">
        <v>9326</v>
      </c>
      <c r="H67" s="49">
        <f>IF(E67="Yes",0.2*G67,0)</f>
        <v>0</v>
      </c>
      <c r="I67" s="49">
        <f>IF(F67="Yes",G67,0)</f>
        <v>0</v>
      </c>
      <c r="J67" s="250"/>
      <c r="K67" s="251"/>
      <c r="L67" s="251"/>
      <c r="M67" s="252"/>
      <c r="N67" s="14"/>
      <c r="O67" s="14"/>
    </row>
    <row r="68" spans="1:33" ht="15" customHeight="1" x14ac:dyDescent="0.2">
      <c r="A68" s="142" t="s">
        <v>208</v>
      </c>
      <c r="B68" s="146" t="s">
        <v>210</v>
      </c>
      <c r="C68" s="147">
        <v>2015</v>
      </c>
      <c r="D68" s="212" t="s">
        <v>15</v>
      </c>
      <c r="E68" s="80" t="s">
        <v>179</v>
      </c>
      <c r="F68" s="80" t="s">
        <v>179</v>
      </c>
      <c r="G68" s="148">
        <v>16965</v>
      </c>
      <c r="H68" s="153">
        <f t="shared" ref="H68:H90" si="4">IF(E68="Yes",0.2*G68,0)</f>
        <v>0</v>
      </c>
      <c r="I68" s="153">
        <f>IF(F68="Yes",G68,0)</f>
        <v>0</v>
      </c>
      <c r="J68" s="247"/>
      <c r="K68" s="248"/>
      <c r="L68" s="248"/>
      <c r="M68" s="249"/>
      <c r="N68" s="14"/>
      <c r="O68" s="14"/>
    </row>
    <row r="69" spans="1:33" ht="15" customHeight="1" x14ac:dyDescent="0.2">
      <c r="A69" s="145"/>
      <c r="B69" s="146"/>
      <c r="C69" s="147"/>
      <c r="D69" s="212"/>
      <c r="E69" s="80" t="s">
        <v>179</v>
      </c>
      <c r="F69" s="80" t="s">
        <v>179</v>
      </c>
      <c r="G69" s="148"/>
      <c r="H69" s="153">
        <f t="shared" si="4"/>
        <v>0</v>
      </c>
      <c r="I69" s="153">
        <f t="shared" ref="I69:I91" si="5">IF(F69="Yes",G69,0)</f>
        <v>0</v>
      </c>
      <c r="J69" s="247"/>
      <c r="K69" s="248"/>
      <c r="L69" s="248"/>
      <c r="M69" s="249"/>
      <c r="N69" s="14"/>
      <c r="O69" s="14"/>
    </row>
    <row r="70" spans="1:33" ht="15" customHeight="1" x14ac:dyDescent="0.2">
      <c r="A70" s="145"/>
      <c r="B70" s="146"/>
      <c r="C70" s="147"/>
      <c r="D70" s="213"/>
      <c r="E70" s="80" t="s">
        <v>179</v>
      </c>
      <c r="F70" s="80" t="s">
        <v>179</v>
      </c>
      <c r="G70" s="148"/>
      <c r="H70" s="153">
        <f t="shared" si="4"/>
        <v>0</v>
      </c>
      <c r="I70" s="153">
        <f t="shared" si="5"/>
        <v>0</v>
      </c>
      <c r="J70" s="247"/>
      <c r="K70" s="248"/>
      <c r="L70" s="248"/>
      <c r="M70" s="249"/>
      <c r="N70" s="14"/>
      <c r="O70" s="14"/>
    </row>
    <row r="71" spans="1:33" ht="15" customHeight="1" x14ac:dyDescent="0.2">
      <c r="A71" s="145"/>
      <c r="B71" s="146"/>
      <c r="C71" s="147"/>
      <c r="D71" s="214"/>
      <c r="E71" s="80" t="s">
        <v>179</v>
      </c>
      <c r="F71" s="80" t="s">
        <v>179</v>
      </c>
      <c r="G71" s="148"/>
      <c r="H71" s="153">
        <f t="shared" si="4"/>
        <v>0</v>
      </c>
      <c r="I71" s="153">
        <f t="shared" si="5"/>
        <v>0</v>
      </c>
      <c r="J71" s="247"/>
      <c r="K71" s="248"/>
      <c r="L71" s="248"/>
      <c r="M71" s="249"/>
      <c r="N71" s="14"/>
      <c r="O71" s="14"/>
    </row>
    <row r="72" spans="1:33" ht="15" customHeight="1" x14ac:dyDescent="0.2">
      <c r="A72" s="145"/>
      <c r="B72" s="146"/>
      <c r="C72" s="147"/>
      <c r="D72" s="215"/>
      <c r="E72" s="80" t="s">
        <v>179</v>
      </c>
      <c r="F72" s="80" t="s">
        <v>179</v>
      </c>
      <c r="G72" s="148"/>
      <c r="H72" s="153">
        <f t="shared" si="4"/>
        <v>0</v>
      </c>
      <c r="I72" s="153">
        <f t="shared" si="5"/>
        <v>0</v>
      </c>
      <c r="J72" s="247"/>
      <c r="K72" s="248"/>
      <c r="L72" s="248"/>
      <c r="M72" s="249"/>
      <c r="N72" s="14"/>
      <c r="O72" s="14"/>
    </row>
    <row r="73" spans="1:33" ht="15" customHeight="1" x14ac:dyDescent="0.2">
      <c r="A73" s="145"/>
      <c r="B73" s="146"/>
      <c r="C73" s="147"/>
      <c r="D73" s="215"/>
      <c r="E73" s="80" t="s">
        <v>179</v>
      </c>
      <c r="F73" s="80" t="s">
        <v>179</v>
      </c>
      <c r="G73" s="148"/>
      <c r="H73" s="153">
        <f t="shared" si="4"/>
        <v>0</v>
      </c>
      <c r="I73" s="153">
        <f t="shared" si="5"/>
        <v>0</v>
      </c>
      <c r="J73" s="247"/>
      <c r="K73" s="248"/>
      <c r="L73" s="248"/>
      <c r="M73" s="249"/>
      <c r="N73" s="14"/>
      <c r="O73" s="14"/>
    </row>
    <row r="74" spans="1:33" ht="15" customHeight="1" x14ac:dyDescent="0.2">
      <c r="A74" s="145"/>
      <c r="B74" s="146"/>
      <c r="C74" s="147"/>
      <c r="D74" s="215"/>
      <c r="E74" s="80" t="s">
        <v>179</v>
      </c>
      <c r="F74" s="80" t="s">
        <v>179</v>
      </c>
      <c r="G74" s="148"/>
      <c r="H74" s="153">
        <f t="shared" si="4"/>
        <v>0</v>
      </c>
      <c r="I74" s="153">
        <f t="shared" si="5"/>
        <v>0</v>
      </c>
      <c r="J74" s="247"/>
      <c r="K74" s="248"/>
      <c r="L74" s="248"/>
      <c r="M74" s="249"/>
      <c r="N74" s="14"/>
      <c r="O74" s="14"/>
    </row>
    <row r="75" spans="1:33" ht="15" customHeight="1" x14ac:dyDescent="0.2">
      <c r="A75" s="145"/>
      <c r="B75" s="146"/>
      <c r="C75" s="147"/>
      <c r="D75" s="215"/>
      <c r="E75" s="80" t="s">
        <v>179</v>
      </c>
      <c r="F75" s="80" t="s">
        <v>179</v>
      </c>
      <c r="G75" s="148"/>
      <c r="H75" s="153">
        <f t="shared" si="4"/>
        <v>0</v>
      </c>
      <c r="I75" s="153">
        <f t="shared" si="5"/>
        <v>0</v>
      </c>
      <c r="J75" s="247"/>
      <c r="K75" s="248"/>
      <c r="L75" s="248"/>
      <c r="M75" s="249"/>
      <c r="N75" s="14"/>
      <c r="O75" s="14"/>
    </row>
    <row r="76" spans="1:33" ht="15" customHeight="1" x14ac:dyDescent="0.2">
      <c r="A76" s="145"/>
      <c r="B76" s="146"/>
      <c r="C76" s="147"/>
      <c r="D76" s="215"/>
      <c r="E76" s="80" t="s">
        <v>179</v>
      </c>
      <c r="F76" s="80" t="s">
        <v>179</v>
      </c>
      <c r="G76" s="148"/>
      <c r="H76" s="153">
        <f t="shared" si="4"/>
        <v>0</v>
      </c>
      <c r="I76" s="153">
        <f t="shared" si="5"/>
        <v>0</v>
      </c>
      <c r="J76" s="247"/>
      <c r="K76" s="248"/>
      <c r="L76" s="248"/>
      <c r="M76" s="249"/>
      <c r="N76" s="14"/>
      <c r="O76" s="14"/>
    </row>
    <row r="77" spans="1:33" ht="15" customHeight="1" x14ac:dyDescent="0.2">
      <c r="A77" s="145"/>
      <c r="B77" s="146"/>
      <c r="C77" s="147"/>
      <c r="D77" s="215"/>
      <c r="E77" s="80" t="s">
        <v>179</v>
      </c>
      <c r="F77" s="80" t="s">
        <v>179</v>
      </c>
      <c r="G77" s="148"/>
      <c r="H77" s="153">
        <f t="shared" si="4"/>
        <v>0</v>
      </c>
      <c r="I77" s="153">
        <f t="shared" si="5"/>
        <v>0</v>
      </c>
      <c r="J77" s="247"/>
      <c r="K77" s="248"/>
      <c r="L77" s="248"/>
      <c r="M77" s="249"/>
      <c r="N77" s="14"/>
      <c r="O77" s="14"/>
    </row>
    <row r="78" spans="1:33" ht="15" customHeight="1" x14ac:dyDescent="0.2">
      <c r="A78" s="145"/>
      <c r="B78" s="146"/>
      <c r="C78" s="147"/>
      <c r="D78" s="215"/>
      <c r="E78" s="80" t="s">
        <v>179</v>
      </c>
      <c r="F78" s="80" t="s">
        <v>179</v>
      </c>
      <c r="G78" s="148"/>
      <c r="H78" s="153">
        <f t="shared" si="4"/>
        <v>0</v>
      </c>
      <c r="I78" s="153">
        <f t="shared" si="5"/>
        <v>0</v>
      </c>
      <c r="J78" s="247"/>
      <c r="K78" s="248"/>
      <c r="L78" s="248"/>
      <c r="M78" s="249"/>
      <c r="N78" s="14"/>
      <c r="O78" s="14"/>
    </row>
    <row r="79" spans="1:33" ht="15" customHeight="1" x14ac:dyDescent="0.2">
      <c r="A79" s="145"/>
      <c r="B79" s="146"/>
      <c r="C79" s="147"/>
      <c r="D79" s="215"/>
      <c r="E79" s="80" t="s">
        <v>179</v>
      </c>
      <c r="F79" s="80" t="s">
        <v>179</v>
      </c>
      <c r="G79" s="148"/>
      <c r="H79" s="153">
        <f t="shared" si="4"/>
        <v>0</v>
      </c>
      <c r="I79" s="153">
        <f t="shared" si="5"/>
        <v>0</v>
      </c>
      <c r="J79" s="247"/>
      <c r="K79" s="248"/>
      <c r="L79" s="248"/>
      <c r="M79" s="249"/>
      <c r="N79" s="14"/>
      <c r="O79" s="14"/>
    </row>
    <row r="80" spans="1:33" ht="15" customHeight="1" x14ac:dyDescent="0.2">
      <c r="A80" s="145"/>
      <c r="B80" s="146"/>
      <c r="C80" s="147"/>
      <c r="D80" s="215"/>
      <c r="E80" s="80" t="s">
        <v>179</v>
      </c>
      <c r="F80" s="80" t="s">
        <v>179</v>
      </c>
      <c r="G80" s="148"/>
      <c r="H80" s="153">
        <f t="shared" si="4"/>
        <v>0</v>
      </c>
      <c r="I80" s="153">
        <f t="shared" si="5"/>
        <v>0</v>
      </c>
      <c r="J80" s="247"/>
      <c r="K80" s="248"/>
      <c r="L80" s="248"/>
      <c r="M80" s="249"/>
      <c r="N80" s="14"/>
      <c r="O80" s="14"/>
    </row>
    <row r="81" spans="1:15" ht="15" customHeight="1" x14ac:dyDescent="0.2">
      <c r="A81" s="145"/>
      <c r="B81" s="146"/>
      <c r="C81" s="147"/>
      <c r="D81" s="215"/>
      <c r="E81" s="80" t="s">
        <v>179</v>
      </c>
      <c r="F81" s="80" t="s">
        <v>179</v>
      </c>
      <c r="G81" s="148"/>
      <c r="H81" s="153">
        <f t="shared" si="4"/>
        <v>0</v>
      </c>
      <c r="I81" s="153">
        <f t="shared" si="5"/>
        <v>0</v>
      </c>
      <c r="J81" s="247"/>
      <c r="K81" s="248"/>
      <c r="L81" s="248"/>
      <c r="M81" s="249"/>
      <c r="N81" s="14"/>
      <c r="O81" s="14"/>
    </row>
    <row r="82" spans="1:15" ht="15" customHeight="1" x14ac:dyDescent="0.2">
      <c r="A82" s="145"/>
      <c r="B82" s="146"/>
      <c r="C82" s="147"/>
      <c r="D82" s="215"/>
      <c r="E82" s="80" t="s">
        <v>179</v>
      </c>
      <c r="F82" s="80" t="s">
        <v>179</v>
      </c>
      <c r="G82" s="148"/>
      <c r="H82" s="153">
        <f t="shared" si="4"/>
        <v>0</v>
      </c>
      <c r="I82" s="153">
        <f t="shared" si="5"/>
        <v>0</v>
      </c>
      <c r="J82" s="247"/>
      <c r="K82" s="248"/>
      <c r="L82" s="248"/>
      <c r="M82" s="249"/>
      <c r="N82" s="14"/>
      <c r="O82" s="14"/>
    </row>
    <row r="83" spans="1:15" ht="15" customHeight="1" x14ac:dyDescent="0.2">
      <c r="A83" s="145"/>
      <c r="B83" s="146"/>
      <c r="C83" s="147"/>
      <c r="D83" s="215"/>
      <c r="E83" s="80" t="s">
        <v>179</v>
      </c>
      <c r="F83" s="80" t="s">
        <v>179</v>
      </c>
      <c r="G83" s="148"/>
      <c r="H83" s="153">
        <f t="shared" si="4"/>
        <v>0</v>
      </c>
      <c r="I83" s="153">
        <f t="shared" si="5"/>
        <v>0</v>
      </c>
      <c r="J83" s="247"/>
      <c r="K83" s="248"/>
      <c r="L83" s="248"/>
      <c r="M83" s="249"/>
      <c r="N83" s="14"/>
      <c r="O83" s="14"/>
    </row>
    <row r="84" spans="1:15" ht="15" customHeight="1" x14ac:dyDescent="0.2">
      <c r="A84" s="145"/>
      <c r="B84" s="146"/>
      <c r="C84" s="147"/>
      <c r="D84" s="215"/>
      <c r="E84" s="80" t="s">
        <v>179</v>
      </c>
      <c r="F84" s="80" t="s">
        <v>179</v>
      </c>
      <c r="G84" s="148"/>
      <c r="H84" s="153">
        <f t="shared" si="4"/>
        <v>0</v>
      </c>
      <c r="I84" s="153">
        <f t="shared" si="5"/>
        <v>0</v>
      </c>
      <c r="J84" s="247"/>
      <c r="K84" s="248"/>
      <c r="L84" s="248"/>
      <c r="M84" s="249"/>
      <c r="N84" s="14"/>
      <c r="O84" s="14"/>
    </row>
    <row r="85" spans="1:15" ht="15" customHeight="1" x14ac:dyDescent="0.2">
      <c r="A85" s="145"/>
      <c r="B85" s="146"/>
      <c r="C85" s="147"/>
      <c r="D85" s="215"/>
      <c r="E85" s="80" t="s">
        <v>179</v>
      </c>
      <c r="F85" s="80" t="s">
        <v>179</v>
      </c>
      <c r="G85" s="148"/>
      <c r="H85" s="153">
        <f t="shared" si="4"/>
        <v>0</v>
      </c>
      <c r="I85" s="153">
        <f t="shared" si="5"/>
        <v>0</v>
      </c>
      <c r="J85" s="247"/>
      <c r="K85" s="248"/>
      <c r="L85" s="248"/>
      <c r="M85" s="249"/>
      <c r="N85" s="14"/>
      <c r="O85" s="14"/>
    </row>
    <row r="86" spans="1:15" ht="15" customHeight="1" x14ac:dyDescent="0.2">
      <c r="A86" s="145"/>
      <c r="B86" s="146"/>
      <c r="C86" s="147"/>
      <c r="D86" s="215"/>
      <c r="E86" s="80" t="s">
        <v>179</v>
      </c>
      <c r="F86" s="80" t="s">
        <v>179</v>
      </c>
      <c r="G86" s="148"/>
      <c r="H86" s="153">
        <f t="shared" si="4"/>
        <v>0</v>
      </c>
      <c r="I86" s="153">
        <f t="shared" si="5"/>
        <v>0</v>
      </c>
      <c r="J86" s="247"/>
      <c r="K86" s="248"/>
      <c r="L86" s="248"/>
      <c r="M86" s="249"/>
      <c r="N86" s="14"/>
      <c r="O86" s="14"/>
    </row>
    <row r="87" spans="1:15" ht="15" customHeight="1" x14ac:dyDescent="0.2">
      <c r="A87" s="145"/>
      <c r="B87" s="146"/>
      <c r="C87" s="147"/>
      <c r="D87" s="215"/>
      <c r="E87" s="80" t="s">
        <v>179</v>
      </c>
      <c r="F87" s="80" t="s">
        <v>179</v>
      </c>
      <c r="G87" s="148"/>
      <c r="H87" s="153">
        <f t="shared" si="4"/>
        <v>0</v>
      </c>
      <c r="I87" s="153">
        <f t="shared" si="5"/>
        <v>0</v>
      </c>
      <c r="J87" s="247"/>
      <c r="K87" s="248"/>
      <c r="L87" s="248"/>
      <c r="M87" s="249"/>
      <c r="N87" s="14"/>
      <c r="O87" s="14"/>
    </row>
    <row r="88" spans="1:15" ht="15" customHeight="1" x14ac:dyDescent="0.2">
      <c r="A88" s="145"/>
      <c r="B88" s="146"/>
      <c r="C88" s="147"/>
      <c r="D88" s="215"/>
      <c r="E88" s="80" t="s">
        <v>179</v>
      </c>
      <c r="F88" s="80" t="s">
        <v>179</v>
      </c>
      <c r="G88" s="148"/>
      <c r="H88" s="153">
        <f t="shared" si="4"/>
        <v>0</v>
      </c>
      <c r="I88" s="153">
        <f t="shared" si="5"/>
        <v>0</v>
      </c>
      <c r="J88" s="247"/>
      <c r="K88" s="248"/>
      <c r="L88" s="248"/>
      <c r="M88" s="249"/>
      <c r="N88" s="14"/>
      <c r="O88" s="14"/>
    </row>
    <row r="89" spans="1:15" ht="15" customHeight="1" x14ac:dyDescent="0.2">
      <c r="A89" s="145"/>
      <c r="B89" s="146"/>
      <c r="C89" s="147"/>
      <c r="D89" s="215"/>
      <c r="E89" s="80" t="s">
        <v>179</v>
      </c>
      <c r="F89" s="80" t="s">
        <v>179</v>
      </c>
      <c r="G89" s="148"/>
      <c r="H89" s="153">
        <f t="shared" si="4"/>
        <v>0</v>
      </c>
      <c r="I89" s="153">
        <f t="shared" si="5"/>
        <v>0</v>
      </c>
      <c r="J89" s="247"/>
      <c r="K89" s="248"/>
      <c r="L89" s="248"/>
      <c r="M89" s="249"/>
      <c r="N89" s="14"/>
      <c r="O89" s="14"/>
    </row>
    <row r="90" spans="1:15" ht="15" customHeight="1" x14ac:dyDescent="0.2">
      <c r="A90" s="145"/>
      <c r="B90" s="146"/>
      <c r="C90" s="147"/>
      <c r="D90" s="215"/>
      <c r="E90" s="80" t="s">
        <v>179</v>
      </c>
      <c r="F90" s="80" t="s">
        <v>179</v>
      </c>
      <c r="G90" s="148"/>
      <c r="H90" s="153">
        <f t="shared" si="4"/>
        <v>0</v>
      </c>
      <c r="I90" s="153">
        <f t="shared" si="5"/>
        <v>0</v>
      </c>
      <c r="J90" s="247"/>
      <c r="K90" s="248"/>
      <c r="L90" s="248"/>
      <c r="M90" s="249"/>
      <c r="N90" s="14"/>
      <c r="O90" s="14"/>
    </row>
    <row r="91" spans="1:15" ht="15" customHeight="1" x14ac:dyDescent="0.2">
      <c r="A91" s="149"/>
      <c r="B91" s="150"/>
      <c r="C91" s="151"/>
      <c r="D91" s="216"/>
      <c r="E91" s="80" t="s">
        <v>179</v>
      </c>
      <c r="F91" s="80" t="s">
        <v>179</v>
      </c>
      <c r="G91" s="152"/>
      <c r="H91" s="50">
        <f>IF(E91="Yes",0.2*G91,0)</f>
        <v>0</v>
      </c>
      <c r="I91" s="153">
        <f t="shared" si="5"/>
        <v>0</v>
      </c>
      <c r="J91" s="247"/>
      <c r="K91" s="248"/>
      <c r="L91" s="248"/>
      <c r="M91" s="249"/>
      <c r="N91" s="14"/>
      <c r="O91" s="14"/>
    </row>
    <row r="92" spans="1:15" ht="15" customHeight="1" x14ac:dyDescent="0.2">
      <c r="N92" s="14"/>
      <c r="O92" s="14"/>
    </row>
    <row r="93" spans="1:15" ht="15" customHeight="1" x14ac:dyDescent="0.2">
      <c r="A93" s="10"/>
      <c r="B93" s="10"/>
      <c r="C93" s="10"/>
      <c r="D93" s="9" t="s">
        <v>4</v>
      </c>
      <c r="E93" s="266" t="str">
        <f>B5</f>
        <v>Public Utility District No. 2 of Grant County</v>
      </c>
      <c r="F93" s="267"/>
      <c r="G93" s="268"/>
      <c r="N93" s="14"/>
      <c r="O93" s="14"/>
    </row>
    <row r="94" spans="1:15" ht="15" customHeight="1" x14ac:dyDescent="0.2">
      <c r="D94" s="9" t="s">
        <v>13</v>
      </c>
      <c r="E94" s="273">
        <v>2016</v>
      </c>
      <c r="F94" s="274"/>
      <c r="G94" s="275"/>
    </row>
    <row r="95" spans="1:15" x14ac:dyDescent="0.2">
      <c r="A95" s="2" t="s">
        <v>39</v>
      </c>
      <c r="B95" s="46"/>
      <c r="C95" s="46"/>
      <c r="D95" s="46"/>
      <c r="E95" s="46"/>
      <c r="F95" s="46"/>
      <c r="G95" s="46"/>
      <c r="H95" s="46"/>
      <c r="I95" s="46"/>
      <c r="J95" s="46"/>
      <c r="K95" s="46"/>
      <c r="L95" s="46"/>
    </row>
    <row r="96" spans="1:15" x14ac:dyDescent="0.2">
      <c r="A96" s="46"/>
      <c r="B96" s="46"/>
      <c r="C96" s="46"/>
      <c r="D96" s="46"/>
      <c r="E96" s="46"/>
      <c r="F96" s="46"/>
      <c r="G96" s="46"/>
      <c r="H96" s="46"/>
      <c r="I96" s="46"/>
      <c r="J96" s="46"/>
      <c r="K96" s="46"/>
      <c r="L96" s="46"/>
    </row>
    <row r="97" spans="1:12" x14ac:dyDescent="0.2">
      <c r="A97" s="46"/>
      <c r="B97" s="46"/>
      <c r="C97" s="46"/>
      <c r="D97" s="46"/>
      <c r="E97" s="46"/>
      <c r="F97" s="46"/>
      <c r="G97" s="46"/>
      <c r="H97" s="46"/>
      <c r="I97" s="46"/>
      <c r="J97" s="46"/>
      <c r="K97" s="46"/>
      <c r="L97" s="46"/>
    </row>
    <row r="98" spans="1:12" x14ac:dyDescent="0.2">
      <c r="A98" s="46"/>
      <c r="B98" s="46"/>
      <c r="C98" s="46"/>
      <c r="D98" s="46"/>
      <c r="E98" s="46"/>
      <c r="F98" s="46"/>
      <c r="G98" s="46"/>
      <c r="H98" s="46"/>
      <c r="I98" s="46"/>
      <c r="J98" s="46"/>
      <c r="K98" s="46"/>
      <c r="L98" s="46"/>
    </row>
    <row r="99" spans="1:12" x14ac:dyDescent="0.2">
      <c r="A99" s="46"/>
      <c r="B99" s="46"/>
      <c r="C99" s="46"/>
      <c r="D99" s="46"/>
      <c r="E99" s="46"/>
      <c r="F99" s="46"/>
      <c r="G99" s="46"/>
      <c r="H99" s="46"/>
      <c r="I99" s="46"/>
      <c r="J99" s="46"/>
      <c r="K99" s="46"/>
      <c r="L99" s="46"/>
    </row>
    <row r="100" spans="1:12" x14ac:dyDescent="0.2">
      <c r="A100" s="46"/>
      <c r="B100" s="46"/>
      <c r="C100" s="46"/>
      <c r="D100" s="46"/>
      <c r="E100" s="46"/>
      <c r="F100" s="46"/>
      <c r="G100" s="46"/>
      <c r="H100" s="46"/>
      <c r="I100" s="46"/>
      <c r="J100" s="46"/>
      <c r="K100" s="46"/>
      <c r="L100" s="46"/>
    </row>
    <row r="101" spans="1:12" x14ac:dyDescent="0.2">
      <c r="A101" s="46"/>
      <c r="B101" s="46"/>
      <c r="C101" s="46"/>
      <c r="D101" s="46"/>
      <c r="E101" s="46"/>
      <c r="F101" s="46"/>
      <c r="G101" s="46"/>
      <c r="H101" s="46"/>
      <c r="I101" s="46"/>
      <c r="J101" s="46"/>
      <c r="K101" s="46"/>
      <c r="L101" s="46"/>
    </row>
    <row r="102" spans="1:12" x14ac:dyDescent="0.2">
      <c r="A102" s="46"/>
      <c r="B102" s="46"/>
      <c r="C102" s="46"/>
      <c r="D102" s="46"/>
      <c r="E102" s="46"/>
      <c r="F102" s="46"/>
      <c r="G102" s="46"/>
      <c r="H102" s="46"/>
      <c r="I102" s="46"/>
      <c r="J102" s="46"/>
      <c r="K102" s="46"/>
      <c r="L102" s="46"/>
    </row>
    <row r="103" spans="1:12" x14ac:dyDescent="0.2">
      <c r="A103" s="46"/>
      <c r="B103" s="46"/>
      <c r="C103" s="46"/>
      <c r="D103" s="46"/>
      <c r="E103" s="46"/>
      <c r="F103" s="46"/>
      <c r="G103" s="46"/>
      <c r="H103" s="46"/>
      <c r="I103" s="46"/>
      <c r="J103" s="46"/>
      <c r="K103" s="46"/>
      <c r="L103" s="46"/>
    </row>
    <row r="104" spans="1:12" x14ac:dyDescent="0.2">
      <c r="A104" s="46"/>
      <c r="B104" s="46"/>
      <c r="C104" s="46"/>
      <c r="D104" s="46"/>
      <c r="E104" s="46"/>
      <c r="F104" s="46"/>
      <c r="G104" s="46"/>
      <c r="H104" s="46"/>
      <c r="I104" s="46"/>
      <c r="J104" s="46"/>
      <c r="K104" s="46"/>
      <c r="L104" s="46"/>
    </row>
    <row r="105" spans="1:12" x14ac:dyDescent="0.2">
      <c r="A105" s="46"/>
      <c r="B105" s="46"/>
      <c r="C105" s="46"/>
      <c r="D105" s="46"/>
      <c r="E105" s="46"/>
      <c r="F105" s="46"/>
      <c r="G105" s="46"/>
      <c r="H105" s="46"/>
      <c r="I105" s="46"/>
      <c r="J105" s="46"/>
      <c r="K105" s="46"/>
      <c r="L105" s="46"/>
    </row>
    <row r="106" spans="1:12" x14ac:dyDescent="0.2">
      <c r="A106" s="46"/>
      <c r="B106" s="46"/>
      <c r="C106" s="46"/>
      <c r="D106" s="46"/>
      <c r="E106" s="46"/>
      <c r="F106" s="46"/>
      <c r="G106" s="46"/>
      <c r="H106" s="46"/>
      <c r="I106" s="46"/>
      <c r="J106" s="46"/>
      <c r="K106" s="46"/>
      <c r="L106" s="46"/>
    </row>
    <row r="107" spans="1:12" x14ac:dyDescent="0.2">
      <c r="A107" s="46"/>
      <c r="B107" s="46"/>
      <c r="C107" s="46"/>
      <c r="D107" s="46"/>
      <c r="E107" s="46"/>
      <c r="F107" s="46"/>
      <c r="G107" s="46"/>
      <c r="H107" s="46"/>
      <c r="I107" s="46"/>
      <c r="J107" s="46"/>
      <c r="K107" s="46"/>
      <c r="L107" s="46"/>
    </row>
    <row r="108" spans="1:12" x14ac:dyDescent="0.2">
      <c r="A108" s="46"/>
      <c r="B108" s="46"/>
      <c r="C108" s="46"/>
      <c r="D108" s="46"/>
      <c r="E108" s="46"/>
      <c r="F108" s="46"/>
      <c r="G108" s="46"/>
      <c r="H108" s="46"/>
      <c r="I108" s="46"/>
      <c r="J108" s="46"/>
      <c r="K108" s="46"/>
      <c r="L108" s="46"/>
    </row>
    <row r="109" spans="1:12" x14ac:dyDescent="0.2">
      <c r="A109" s="46"/>
      <c r="B109" s="46"/>
      <c r="C109" s="46"/>
      <c r="D109" s="46"/>
      <c r="E109" s="46"/>
      <c r="F109" s="46"/>
      <c r="G109" s="46"/>
      <c r="H109" s="46"/>
      <c r="I109" s="46"/>
      <c r="J109" s="46"/>
      <c r="K109" s="46"/>
      <c r="L109" s="46"/>
    </row>
    <row r="110" spans="1:12" x14ac:dyDescent="0.2">
      <c r="A110" s="46"/>
      <c r="B110" s="46"/>
      <c r="C110" s="46"/>
      <c r="D110" s="46"/>
      <c r="E110" s="46"/>
      <c r="F110" s="46"/>
      <c r="G110" s="46"/>
      <c r="H110" s="46"/>
      <c r="I110" s="46"/>
      <c r="J110" s="46"/>
      <c r="K110" s="46"/>
      <c r="L110" s="46"/>
    </row>
    <row r="111" spans="1:12" x14ac:dyDescent="0.2">
      <c r="A111" s="46"/>
      <c r="B111" s="46"/>
      <c r="C111" s="46"/>
      <c r="D111" s="46"/>
      <c r="E111" s="46"/>
      <c r="F111" s="46"/>
      <c r="G111" s="46"/>
      <c r="H111" s="46"/>
      <c r="I111" s="46"/>
      <c r="J111" s="46"/>
      <c r="K111" s="46"/>
      <c r="L111" s="46"/>
    </row>
    <row r="112" spans="1:12" x14ac:dyDescent="0.2">
      <c r="A112" s="46"/>
      <c r="B112" s="46"/>
      <c r="C112" s="46"/>
      <c r="D112" s="46"/>
      <c r="E112" s="46"/>
      <c r="F112" s="46"/>
      <c r="G112" s="46"/>
      <c r="H112" s="46"/>
      <c r="I112" s="46"/>
      <c r="J112" s="46"/>
      <c r="K112" s="46"/>
      <c r="L112" s="46"/>
    </row>
    <row r="113" spans="1:12" x14ac:dyDescent="0.2">
      <c r="A113" s="46"/>
      <c r="B113" s="46"/>
      <c r="C113" s="46"/>
      <c r="D113" s="46"/>
      <c r="E113" s="46"/>
      <c r="F113" s="46"/>
      <c r="G113" s="46"/>
      <c r="H113" s="46"/>
      <c r="I113" s="46"/>
      <c r="J113" s="46"/>
      <c r="K113" s="46"/>
      <c r="L113" s="46"/>
    </row>
    <row r="114" spans="1:12" x14ac:dyDescent="0.2">
      <c r="A114" s="46"/>
      <c r="B114" s="46"/>
      <c r="C114" s="46"/>
      <c r="D114" s="46"/>
      <c r="E114" s="46"/>
      <c r="F114" s="46"/>
      <c r="G114" s="46"/>
      <c r="H114" s="46"/>
      <c r="I114" s="46"/>
      <c r="J114" s="46"/>
      <c r="K114" s="46"/>
      <c r="L114" s="46"/>
    </row>
    <row r="115" spans="1:12" x14ac:dyDescent="0.2">
      <c r="A115" s="46"/>
      <c r="B115" s="46"/>
      <c r="C115" s="46"/>
      <c r="D115" s="46"/>
      <c r="E115" s="46"/>
      <c r="F115" s="46"/>
      <c r="G115" s="46"/>
      <c r="H115" s="46"/>
      <c r="I115" s="46"/>
      <c r="J115" s="46"/>
      <c r="K115" s="46"/>
      <c r="L115" s="46"/>
    </row>
    <row r="116" spans="1:12" x14ac:dyDescent="0.2">
      <c r="A116" s="46"/>
      <c r="B116" s="46"/>
      <c r="C116" s="46"/>
      <c r="D116" s="46"/>
      <c r="E116" s="46"/>
      <c r="F116" s="46"/>
      <c r="G116" s="46"/>
      <c r="H116" s="46"/>
      <c r="I116" s="46"/>
      <c r="J116" s="46"/>
      <c r="K116" s="46"/>
      <c r="L116" s="46"/>
    </row>
  </sheetData>
  <mergeCells count="70">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 ref="B5:D5"/>
    <mergeCell ref="B6:D6"/>
    <mergeCell ref="B7:D7"/>
    <mergeCell ref="B8:D8"/>
    <mergeCell ref="B9:D9"/>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J72:M72"/>
    <mergeCell ref="J73:M73"/>
    <mergeCell ref="J74:M74"/>
    <mergeCell ref="J75:M75"/>
    <mergeCell ref="J76:M76"/>
    <mergeCell ref="J77:M77"/>
    <mergeCell ref="J78:M78"/>
    <mergeCell ref="J79:M79"/>
    <mergeCell ref="J80:M80"/>
    <mergeCell ref="J88:M88"/>
    <mergeCell ref="J89:M89"/>
    <mergeCell ref="J90:M90"/>
    <mergeCell ref="J81:M81"/>
    <mergeCell ref="J82:M82"/>
    <mergeCell ref="J83:M83"/>
    <mergeCell ref="J84:M84"/>
    <mergeCell ref="J85:M85"/>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D67:D91 C40:C60">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hyperlinks>
    <hyperlink ref="B9" r:id="rId1"/>
  </hyperlinks>
  <pageMargins left="0.7" right="0.7" top="0.75" bottom="0.75" header="0.3" footer="0.3"/>
  <pageSetup scale="71" fitToHeight="0" orientation="landscape" r:id="rId2"/>
  <rowBreaks count="3" manualBreakCount="3">
    <brk id="34" max="13" man="1"/>
    <brk id="61" max="13" man="1"/>
    <brk id="91"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200025</xdr:colOff>
                    <xdr:row>14</xdr:row>
                    <xdr:rowOff>95250</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2</xdr:col>
                    <xdr:colOff>600075</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topLeftCell="A16" zoomScaleNormal="100" zoomScaleSheetLayoutView="100" workbookViewId="0">
      <selection activeCell="M25" sqref="M25"/>
    </sheetView>
  </sheetViews>
  <sheetFormatPr defaultColWidth="9.140625" defaultRowHeight="12.75" x14ac:dyDescent="0.2"/>
  <cols>
    <col min="1" max="1" width="46.42578125" style="76" customWidth="1"/>
    <col min="2" max="2" width="10.85546875" style="76" customWidth="1"/>
    <col min="3" max="3" width="10.28515625" style="76" customWidth="1"/>
    <col min="4" max="4" width="14" style="76" customWidth="1"/>
    <col min="5" max="5" width="14.140625" style="76" customWidth="1"/>
    <col min="6" max="8" width="10.7109375" style="76" customWidth="1"/>
    <col min="9" max="9" width="15.7109375" style="76" customWidth="1"/>
    <col min="10" max="10" width="10.7109375" style="76" customWidth="1"/>
    <col min="11" max="11" width="16.5703125" style="76" customWidth="1"/>
    <col min="12" max="12" width="9.140625" style="76"/>
    <col min="13" max="13" width="14" style="76" bestFit="1" customWidth="1"/>
    <col min="14" max="16384" width="9.140625" style="76"/>
  </cols>
  <sheetData>
    <row r="1" spans="1:14" ht="15" customHeight="1" x14ac:dyDescent="0.2">
      <c r="A1" s="283" t="s">
        <v>192</v>
      </c>
      <c r="B1" s="283"/>
      <c r="C1" s="283"/>
      <c r="D1" s="283"/>
      <c r="E1" s="283"/>
      <c r="F1" s="283"/>
      <c r="G1" s="283"/>
      <c r="H1" s="283"/>
      <c r="I1" s="283"/>
      <c r="J1" s="283"/>
      <c r="K1" s="283"/>
      <c r="L1" s="77"/>
      <c r="M1" s="77"/>
      <c r="N1" s="77"/>
    </row>
    <row r="2" spans="1:14" ht="15" customHeight="1" x14ac:dyDescent="0.2">
      <c r="A2" s="284" t="s">
        <v>193</v>
      </c>
      <c r="B2" s="284"/>
      <c r="C2" s="284"/>
      <c r="D2" s="284"/>
      <c r="E2" s="284"/>
      <c r="F2" s="284"/>
      <c r="G2" s="284"/>
      <c r="H2" s="284"/>
      <c r="I2" s="284"/>
      <c r="J2" s="284"/>
      <c r="K2" s="284"/>
      <c r="L2" s="77"/>
      <c r="M2" s="77"/>
      <c r="N2" s="77"/>
    </row>
    <row r="3" spans="1:14" s="77" customFormat="1" ht="19.5" x14ac:dyDescent="0.4">
      <c r="A3" s="155" t="s">
        <v>138</v>
      </c>
      <c r="B3" s="155"/>
      <c r="C3" s="155"/>
    </row>
    <row r="4" spans="1:14" ht="15" customHeight="1" x14ac:dyDescent="0.2">
      <c r="L4" s="77"/>
      <c r="M4" s="77"/>
      <c r="N4" s="77"/>
    </row>
    <row r="5" spans="1:14" ht="16.5" customHeight="1" x14ac:dyDescent="0.25">
      <c r="A5" s="156" t="s">
        <v>101</v>
      </c>
      <c r="B5" s="157"/>
      <c r="C5" s="157"/>
      <c r="D5" s="85" t="s">
        <v>4</v>
      </c>
      <c r="E5" s="285" t="str">
        <f>'Renewables Report'!$B$5</f>
        <v>Public Utility District No. 2 of Grant County</v>
      </c>
      <c r="F5" s="286"/>
      <c r="G5" s="287"/>
      <c r="L5" s="77"/>
      <c r="M5" s="77"/>
      <c r="N5" s="77"/>
    </row>
    <row r="6" spans="1:14" ht="15" customHeight="1" x14ac:dyDescent="0.2">
      <c r="D6" s="85" t="s">
        <v>13</v>
      </c>
      <c r="E6" s="288">
        <v>2016</v>
      </c>
      <c r="F6" s="289"/>
      <c r="G6" s="290"/>
    </row>
    <row r="7" spans="1:14" ht="15" customHeight="1" x14ac:dyDescent="0.2">
      <c r="D7" s="85"/>
      <c r="E7" s="86"/>
      <c r="F7" s="158"/>
      <c r="G7" s="158"/>
    </row>
    <row r="8" spans="1:14" ht="48" x14ac:dyDescent="0.2">
      <c r="A8" s="159" t="s">
        <v>19</v>
      </c>
      <c r="B8" s="160" t="s">
        <v>31</v>
      </c>
      <c r="C8" s="161" t="s">
        <v>7</v>
      </c>
      <c r="D8" s="162" t="s">
        <v>137</v>
      </c>
      <c r="E8" s="162" t="s">
        <v>96</v>
      </c>
      <c r="F8" s="291" t="s">
        <v>95</v>
      </c>
      <c r="G8" s="291"/>
      <c r="H8" s="291"/>
      <c r="I8" s="162" t="s">
        <v>136</v>
      </c>
      <c r="J8" s="162" t="s">
        <v>97</v>
      </c>
      <c r="K8" s="162" t="s">
        <v>135</v>
      </c>
    </row>
    <row r="9" spans="1:14" ht="15" customHeight="1" x14ac:dyDescent="0.2">
      <c r="A9" s="181" t="str">
        <f>'Renewables Report'!A40</f>
        <v>Wanapum Dam Bypass Top Spill for Fish Passage</v>
      </c>
      <c r="B9" s="182" t="str">
        <f>'Renewables Report'!B40</f>
        <v>N/A</v>
      </c>
      <c r="C9" s="183">
        <f>SUM('Renewables Report'!E40)</f>
        <v>183113</v>
      </c>
      <c r="D9" s="163">
        <f>E9*C9</f>
        <v>1311089.08</v>
      </c>
      <c r="E9" s="292">
        <v>7.16</v>
      </c>
      <c r="F9" s="250" t="s">
        <v>221</v>
      </c>
      <c r="G9" s="251"/>
      <c r="H9" s="252"/>
      <c r="I9" s="163">
        <f>J9*C9</f>
        <v>3845373</v>
      </c>
      <c r="J9" s="192">
        <v>21</v>
      </c>
      <c r="K9" s="192">
        <f>MAX(0,D9-I9)</f>
        <v>0</v>
      </c>
    </row>
    <row r="10" spans="1:14" ht="15" customHeight="1" x14ac:dyDescent="0.2">
      <c r="A10" s="184" t="str">
        <f>'Renewables Report'!A41</f>
        <v>Priest Rapids Dam Bypass Top Spill for Fish Passage</v>
      </c>
      <c r="B10" s="185" t="str">
        <f>'Renewables Report'!B41</f>
        <v>N/A</v>
      </c>
      <c r="C10" s="186">
        <f>SUM('Renewables Report'!E41)</f>
        <v>183113</v>
      </c>
      <c r="D10" s="164">
        <f>E10*C10</f>
        <v>1483215.3</v>
      </c>
      <c r="E10" s="292">
        <v>8.1</v>
      </c>
      <c r="F10" s="250" t="s">
        <v>221</v>
      </c>
      <c r="G10" s="251"/>
      <c r="H10" s="252"/>
      <c r="I10" s="163">
        <f>J10*C10</f>
        <v>3845373</v>
      </c>
      <c r="J10" s="193">
        <v>21</v>
      </c>
      <c r="K10" s="193">
        <f t="shared" ref="K10:K29" si="0">MAX(0,D10-I10)</f>
        <v>0</v>
      </c>
    </row>
    <row r="11" spans="1:14" ht="15" customHeight="1" x14ac:dyDescent="0.2">
      <c r="A11" s="184">
        <f>'Renewables Report'!A42</f>
        <v>0</v>
      </c>
      <c r="B11" s="185">
        <f>'Renewables Report'!B42</f>
        <v>0</v>
      </c>
      <c r="C11" s="186">
        <f>SUM('Renewables Report'!E42)</f>
        <v>0</v>
      </c>
      <c r="D11" s="164"/>
      <c r="E11" s="193" t="str">
        <f t="shared" ref="E10:E29" si="1">IF(C11&gt;0,D11/C11,"")</f>
        <v/>
      </c>
      <c r="F11" s="247"/>
      <c r="G11" s="248"/>
      <c r="H11" s="249"/>
      <c r="I11" s="164"/>
      <c r="J11" s="193" t="str">
        <f t="shared" ref="J10:J29" si="2">IF(C11&gt;0,I11/C11,"")</f>
        <v/>
      </c>
      <c r="K11" s="193">
        <f t="shared" si="0"/>
        <v>0</v>
      </c>
    </row>
    <row r="12" spans="1:14" ht="15" customHeight="1" x14ac:dyDescent="0.2">
      <c r="A12" s="184">
        <f>'Renewables Report'!A43</f>
        <v>0</v>
      </c>
      <c r="B12" s="185">
        <f>'Renewables Report'!B43</f>
        <v>0</v>
      </c>
      <c r="C12" s="186">
        <f>SUM('Renewables Report'!E43)</f>
        <v>0</v>
      </c>
      <c r="D12" s="164"/>
      <c r="E12" s="193" t="str">
        <f t="shared" si="1"/>
        <v/>
      </c>
      <c r="F12" s="247"/>
      <c r="G12" s="248"/>
      <c r="H12" s="249"/>
      <c r="I12" s="164"/>
      <c r="J12" s="193" t="str">
        <f t="shared" si="2"/>
        <v/>
      </c>
      <c r="K12" s="193">
        <f t="shared" si="0"/>
        <v>0</v>
      </c>
    </row>
    <row r="13" spans="1:14" ht="15" customHeight="1" x14ac:dyDescent="0.2">
      <c r="A13" s="184">
        <f>'Renewables Report'!A44</f>
        <v>0</v>
      </c>
      <c r="B13" s="185">
        <f>'Renewables Report'!B44</f>
        <v>0</v>
      </c>
      <c r="C13" s="186">
        <f>SUM('Renewables Report'!E44)</f>
        <v>0</v>
      </c>
      <c r="D13" s="164"/>
      <c r="E13" s="193" t="str">
        <f t="shared" si="1"/>
        <v/>
      </c>
      <c r="F13" s="247"/>
      <c r="G13" s="248"/>
      <c r="H13" s="249"/>
      <c r="I13" s="164"/>
      <c r="J13" s="193" t="str">
        <f t="shared" si="2"/>
        <v/>
      </c>
      <c r="K13" s="193">
        <f t="shared" si="0"/>
        <v>0</v>
      </c>
    </row>
    <row r="14" spans="1:14" ht="15" customHeight="1" x14ac:dyDescent="0.2">
      <c r="A14" s="184">
        <f>'Renewables Report'!A45</f>
        <v>0</v>
      </c>
      <c r="B14" s="185">
        <f>'Renewables Report'!B45</f>
        <v>0</v>
      </c>
      <c r="C14" s="186">
        <f>SUM('Renewables Report'!E45)</f>
        <v>0</v>
      </c>
      <c r="D14" s="164"/>
      <c r="E14" s="193" t="str">
        <f t="shared" si="1"/>
        <v/>
      </c>
      <c r="F14" s="247"/>
      <c r="G14" s="248"/>
      <c r="H14" s="249"/>
      <c r="I14" s="164"/>
      <c r="J14" s="193" t="str">
        <f t="shared" si="2"/>
        <v/>
      </c>
      <c r="K14" s="193">
        <f t="shared" si="0"/>
        <v>0</v>
      </c>
    </row>
    <row r="15" spans="1:14" ht="15" customHeight="1" x14ac:dyDescent="0.2">
      <c r="A15" s="184">
        <f>'Renewables Report'!A46</f>
        <v>0</v>
      </c>
      <c r="B15" s="185">
        <f>'Renewables Report'!B46</f>
        <v>0</v>
      </c>
      <c r="C15" s="186">
        <f>SUM('Renewables Report'!E46)</f>
        <v>0</v>
      </c>
      <c r="D15" s="164"/>
      <c r="E15" s="193" t="str">
        <f t="shared" si="1"/>
        <v/>
      </c>
      <c r="F15" s="247"/>
      <c r="G15" s="248"/>
      <c r="H15" s="249"/>
      <c r="I15" s="164"/>
      <c r="J15" s="193" t="str">
        <f t="shared" si="2"/>
        <v/>
      </c>
      <c r="K15" s="193">
        <f t="shared" si="0"/>
        <v>0</v>
      </c>
    </row>
    <row r="16" spans="1:14" ht="15" customHeight="1" x14ac:dyDescent="0.2">
      <c r="A16" s="184">
        <f>'Renewables Report'!A47</f>
        <v>0</v>
      </c>
      <c r="B16" s="185">
        <f>'Renewables Report'!B47</f>
        <v>0</v>
      </c>
      <c r="C16" s="186">
        <f>SUM('Renewables Report'!E47)</f>
        <v>0</v>
      </c>
      <c r="D16" s="164"/>
      <c r="E16" s="193" t="str">
        <f t="shared" si="1"/>
        <v/>
      </c>
      <c r="F16" s="247"/>
      <c r="G16" s="248"/>
      <c r="H16" s="249"/>
      <c r="I16" s="164"/>
      <c r="J16" s="193" t="str">
        <f t="shared" si="2"/>
        <v/>
      </c>
      <c r="K16" s="193">
        <f t="shared" si="0"/>
        <v>0</v>
      </c>
    </row>
    <row r="17" spans="1:11" ht="15" customHeight="1" x14ac:dyDescent="0.2">
      <c r="A17" s="184">
        <f>'Renewables Report'!A48</f>
        <v>0</v>
      </c>
      <c r="B17" s="185">
        <f>'Renewables Report'!B48</f>
        <v>0</v>
      </c>
      <c r="C17" s="186">
        <f>SUM('Renewables Report'!E48)</f>
        <v>0</v>
      </c>
      <c r="D17" s="164"/>
      <c r="E17" s="193" t="str">
        <f t="shared" si="1"/>
        <v/>
      </c>
      <c r="F17" s="247"/>
      <c r="G17" s="248"/>
      <c r="H17" s="249"/>
      <c r="I17" s="164"/>
      <c r="J17" s="193" t="str">
        <f t="shared" si="2"/>
        <v/>
      </c>
      <c r="K17" s="193">
        <f t="shared" si="0"/>
        <v>0</v>
      </c>
    </row>
    <row r="18" spans="1:11" ht="15" customHeight="1" x14ac:dyDescent="0.2">
      <c r="A18" s="184">
        <f>'Renewables Report'!A49</f>
        <v>0</v>
      </c>
      <c r="B18" s="185">
        <f>'Renewables Report'!B49</f>
        <v>0</v>
      </c>
      <c r="C18" s="186">
        <f>SUM('Renewables Report'!E49)</f>
        <v>0</v>
      </c>
      <c r="D18" s="164"/>
      <c r="E18" s="193"/>
      <c r="F18" s="247"/>
      <c r="G18" s="248"/>
      <c r="H18" s="249"/>
      <c r="I18" s="164"/>
      <c r="J18" s="193" t="str">
        <f t="shared" si="2"/>
        <v/>
      </c>
      <c r="K18" s="193">
        <f t="shared" si="0"/>
        <v>0</v>
      </c>
    </row>
    <row r="19" spans="1:11" ht="15" customHeight="1" x14ac:dyDescent="0.2">
      <c r="A19" s="184">
        <f>'Renewables Report'!A50</f>
        <v>0</v>
      </c>
      <c r="B19" s="185">
        <f>'Renewables Report'!B50</f>
        <v>0</v>
      </c>
      <c r="C19" s="186">
        <f>SUM('Renewables Report'!E50)</f>
        <v>0</v>
      </c>
      <c r="D19" s="164"/>
      <c r="E19" s="193"/>
      <c r="F19" s="247"/>
      <c r="G19" s="248"/>
      <c r="H19" s="249"/>
      <c r="I19" s="164"/>
      <c r="J19" s="193" t="str">
        <f t="shared" si="2"/>
        <v/>
      </c>
      <c r="K19" s="193">
        <f t="shared" si="0"/>
        <v>0</v>
      </c>
    </row>
    <row r="20" spans="1:11" ht="15" customHeight="1" x14ac:dyDescent="0.2">
      <c r="A20" s="184">
        <f>'Renewables Report'!A51</f>
        <v>0</v>
      </c>
      <c r="B20" s="185">
        <f>'Renewables Report'!B51</f>
        <v>0</v>
      </c>
      <c r="C20" s="186">
        <f>SUM('Renewables Report'!E51)</f>
        <v>0</v>
      </c>
      <c r="D20" s="164"/>
      <c r="E20" s="193" t="str">
        <f t="shared" si="1"/>
        <v/>
      </c>
      <c r="F20" s="247"/>
      <c r="G20" s="248"/>
      <c r="H20" s="249"/>
      <c r="I20" s="164"/>
      <c r="J20" s="193" t="str">
        <f t="shared" si="2"/>
        <v/>
      </c>
      <c r="K20" s="193">
        <f t="shared" si="0"/>
        <v>0</v>
      </c>
    </row>
    <row r="21" spans="1:11" ht="15" customHeight="1" x14ac:dyDescent="0.2">
      <c r="A21" s="184">
        <f>'Renewables Report'!A52</f>
        <v>0</v>
      </c>
      <c r="B21" s="185">
        <f>'Renewables Report'!B52</f>
        <v>0</v>
      </c>
      <c r="C21" s="186">
        <f>SUM('Renewables Report'!E52)</f>
        <v>0</v>
      </c>
      <c r="D21" s="164"/>
      <c r="E21" s="193" t="str">
        <f t="shared" si="1"/>
        <v/>
      </c>
      <c r="F21" s="247"/>
      <c r="G21" s="248"/>
      <c r="H21" s="249"/>
      <c r="I21" s="164"/>
      <c r="J21" s="193" t="str">
        <f t="shared" si="2"/>
        <v/>
      </c>
      <c r="K21" s="193">
        <f t="shared" si="0"/>
        <v>0</v>
      </c>
    </row>
    <row r="22" spans="1:11" ht="15" customHeight="1" x14ac:dyDescent="0.2">
      <c r="A22" s="184">
        <f>'Renewables Report'!A53</f>
        <v>0</v>
      </c>
      <c r="B22" s="185">
        <f>'Renewables Report'!B53</f>
        <v>0</v>
      </c>
      <c r="C22" s="186">
        <f>SUM('Renewables Report'!E53)</f>
        <v>0</v>
      </c>
      <c r="D22" s="164"/>
      <c r="E22" s="193" t="str">
        <f t="shared" si="1"/>
        <v/>
      </c>
      <c r="F22" s="247"/>
      <c r="G22" s="248"/>
      <c r="H22" s="249"/>
      <c r="I22" s="164"/>
      <c r="J22" s="193" t="str">
        <f t="shared" si="2"/>
        <v/>
      </c>
      <c r="K22" s="193">
        <f t="shared" si="0"/>
        <v>0</v>
      </c>
    </row>
    <row r="23" spans="1:11" ht="15" customHeight="1" x14ac:dyDescent="0.2">
      <c r="A23" s="184">
        <f>'Renewables Report'!A54</f>
        <v>0</v>
      </c>
      <c r="B23" s="185">
        <f>'Renewables Report'!B54</f>
        <v>0</v>
      </c>
      <c r="C23" s="186">
        <f>SUM('Renewables Report'!E54)</f>
        <v>0</v>
      </c>
      <c r="D23" s="164"/>
      <c r="E23" s="193" t="str">
        <f t="shared" si="1"/>
        <v/>
      </c>
      <c r="F23" s="247"/>
      <c r="G23" s="248"/>
      <c r="H23" s="249"/>
      <c r="I23" s="164"/>
      <c r="J23" s="193" t="str">
        <f t="shared" si="2"/>
        <v/>
      </c>
      <c r="K23" s="193">
        <f t="shared" si="0"/>
        <v>0</v>
      </c>
    </row>
    <row r="24" spans="1:11" ht="15" customHeight="1" x14ac:dyDescent="0.2">
      <c r="A24" s="184">
        <f>'Renewables Report'!A55</f>
        <v>0</v>
      </c>
      <c r="B24" s="185">
        <f>'Renewables Report'!B55</f>
        <v>0</v>
      </c>
      <c r="C24" s="186">
        <f>SUM('Renewables Report'!E55)</f>
        <v>0</v>
      </c>
      <c r="D24" s="164"/>
      <c r="E24" s="193" t="str">
        <f t="shared" si="1"/>
        <v/>
      </c>
      <c r="F24" s="247"/>
      <c r="G24" s="248"/>
      <c r="H24" s="249"/>
      <c r="I24" s="164"/>
      <c r="J24" s="193" t="str">
        <f t="shared" si="2"/>
        <v/>
      </c>
      <c r="K24" s="193">
        <f t="shared" si="0"/>
        <v>0</v>
      </c>
    </row>
    <row r="25" spans="1:11" ht="15" customHeight="1" x14ac:dyDescent="0.2">
      <c r="A25" s="184">
        <f>'Renewables Report'!A56</f>
        <v>0</v>
      </c>
      <c r="B25" s="185">
        <f>'Renewables Report'!B56</f>
        <v>0</v>
      </c>
      <c r="C25" s="186">
        <f>SUM('Renewables Report'!E56)</f>
        <v>0</v>
      </c>
      <c r="D25" s="164"/>
      <c r="E25" s="193" t="str">
        <f t="shared" si="1"/>
        <v/>
      </c>
      <c r="F25" s="247"/>
      <c r="G25" s="248"/>
      <c r="H25" s="249"/>
      <c r="I25" s="164"/>
      <c r="J25" s="193" t="str">
        <f t="shared" si="2"/>
        <v/>
      </c>
      <c r="K25" s="193">
        <f t="shared" si="0"/>
        <v>0</v>
      </c>
    </row>
    <row r="26" spans="1:11" ht="15" customHeight="1" x14ac:dyDescent="0.2">
      <c r="A26" s="184">
        <f>'Renewables Report'!A57</f>
        <v>0</v>
      </c>
      <c r="B26" s="185">
        <f>'Renewables Report'!B57</f>
        <v>0</v>
      </c>
      <c r="C26" s="186">
        <f>SUM('Renewables Report'!E57)</f>
        <v>0</v>
      </c>
      <c r="D26" s="164"/>
      <c r="E26" s="193" t="str">
        <f t="shared" si="1"/>
        <v/>
      </c>
      <c r="F26" s="247"/>
      <c r="G26" s="248"/>
      <c r="H26" s="249"/>
      <c r="I26" s="164"/>
      <c r="J26" s="193" t="str">
        <f t="shared" si="2"/>
        <v/>
      </c>
      <c r="K26" s="193">
        <f t="shared" si="0"/>
        <v>0</v>
      </c>
    </row>
    <row r="27" spans="1:11" ht="15" customHeight="1" x14ac:dyDescent="0.2">
      <c r="A27" s="184">
        <f>'Renewables Report'!A58</f>
        <v>0</v>
      </c>
      <c r="B27" s="185">
        <f>'Renewables Report'!B58</f>
        <v>0</v>
      </c>
      <c r="C27" s="186">
        <f>SUM('Renewables Report'!E58)</f>
        <v>0</v>
      </c>
      <c r="D27" s="164"/>
      <c r="E27" s="193" t="str">
        <f t="shared" si="1"/>
        <v/>
      </c>
      <c r="F27" s="247"/>
      <c r="G27" s="248"/>
      <c r="H27" s="249"/>
      <c r="I27" s="164"/>
      <c r="J27" s="193" t="str">
        <f t="shared" si="2"/>
        <v/>
      </c>
      <c r="K27" s="193">
        <f t="shared" si="0"/>
        <v>0</v>
      </c>
    </row>
    <row r="28" spans="1:11" ht="15" customHeight="1" x14ac:dyDescent="0.2">
      <c r="A28" s="184">
        <f>'Renewables Report'!A59</f>
        <v>0</v>
      </c>
      <c r="B28" s="185">
        <f>'Renewables Report'!B59</f>
        <v>0</v>
      </c>
      <c r="C28" s="186">
        <f>SUM('Renewables Report'!E59)</f>
        <v>0</v>
      </c>
      <c r="D28" s="164"/>
      <c r="E28" s="193" t="str">
        <f t="shared" si="1"/>
        <v/>
      </c>
      <c r="F28" s="247"/>
      <c r="G28" s="248"/>
      <c r="H28" s="249"/>
      <c r="I28" s="164"/>
      <c r="J28" s="193" t="str">
        <f t="shared" si="2"/>
        <v/>
      </c>
      <c r="K28" s="193">
        <f t="shared" si="0"/>
        <v>0</v>
      </c>
    </row>
    <row r="29" spans="1:11" ht="15" customHeight="1" x14ac:dyDescent="0.2">
      <c r="A29" s="187">
        <f>'Renewables Report'!A60</f>
        <v>0</v>
      </c>
      <c r="B29" s="188">
        <f>'Renewables Report'!B60</f>
        <v>0</v>
      </c>
      <c r="C29" s="189">
        <f>SUM('Renewables Report'!E60)</f>
        <v>0</v>
      </c>
      <c r="D29" s="165"/>
      <c r="E29" s="194" t="str">
        <f t="shared" si="1"/>
        <v/>
      </c>
      <c r="F29" s="259"/>
      <c r="G29" s="260"/>
      <c r="H29" s="261"/>
      <c r="I29" s="165"/>
      <c r="J29" s="194" t="str">
        <f t="shared" si="2"/>
        <v/>
      </c>
      <c r="K29" s="194">
        <f t="shared" si="0"/>
        <v>0</v>
      </c>
    </row>
    <row r="30" spans="1:11" ht="15" customHeight="1" x14ac:dyDescent="0.2">
      <c r="A30" s="190" t="s">
        <v>98</v>
      </c>
      <c r="B30" s="190"/>
      <c r="C30" s="191">
        <f>SUM(C9:C29)</f>
        <v>366226</v>
      </c>
      <c r="D30" s="195">
        <f>SUM(D9:D29)</f>
        <v>2794304.38</v>
      </c>
      <c r="E30" s="195"/>
      <c r="F30" s="195"/>
      <c r="G30" s="195"/>
      <c r="H30" s="195"/>
      <c r="I30" s="195">
        <f>SUM(I9:I29)</f>
        <v>7690746</v>
      </c>
      <c r="J30" s="196"/>
      <c r="K30" s="195">
        <f>SUM(K9:K29)</f>
        <v>0</v>
      </c>
    </row>
    <row r="31" spans="1:11" ht="15" customHeight="1" x14ac:dyDescent="0.2">
      <c r="D31" s="77"/>
      <c r="E31" s="77"/>
      <c r="F31" s="77"/>
      <c r="G31" s="77"/>
      <c r="H31" s="77"/>
      <c r="I31" s="77"/>
      <c r="J31" s="77"/>
      <c r="K31" s="77"/>
    </row>
    <row r="32" spans="1:11" ht="17.25" customHeight="1" x14ac:dyDescent="0.25">
      <c r="A32" s="156" t="s">
        <v>102</v>
      </c>
      <c r="B32" s="166"/>
      <c r="C32" s="157"/>
      <c r="D32" s="85" t="s">
        <v>4</v>
      </c>
      <c r="E32" s="285" t="str">
        <f>E5</f>
        <v>Public Utility District No. 2 of Grant County</v>
      </c>
      <c r="F32" s="286"/>
      <c r="G32" s="287"/>
    </row>
    <row r="33" spans="1:14" ht="15" customHeight="1" x14ac:dyDescent="0.2">
      <c r="A33" s="166"/>
      <c r="B33" s="166"/>
      <c r="D33" s="85" t="s">
        <v>13</v>
      </c>
      <c r="E33" s="288">
        <v>2016</v>
      </c>
      <c r="F33" s="289"/>
      <c r="G33" s="290"/>
    </row>
    <row r="34" spans="1:14" ht="15" customHeight="1" x14ac:dyDescent="0.2">
      <c r="A34" s="85"/>
      <c r="B34" s="85"/>
      <c r="C34" s="85"/>
      <c r="D34" s="154"/>
      <c r="G34" s="167"/>
      <c r="H34" s="77"/>
    </row>
    <row r="35" spans="1:14" s="169" customFormat="1" x14ac:dyDescent="0.2">
      <c r="A35" s="85"/>
      <c r="B35" s="85"/>
      <c r="C35" s="85"/>
      <c r="D35" s="168"/>
      <c r="E35" s="168"/>
      <c r="F35" s="168"/>
      <c r="H35" s="168"/>
      <c r="I35" s="168"/>
      <c r="J35" s="168"/>
      <c r="K35" s="168"/>
    </row>
    <row r="36" spans="1:14" ht="38.25" x14ac:dyDescent="0.2">
      <c r="A36" s="159" t="s">
        <v>19</v>
      </c>
      <c r="B36" s="170" t="s">
        <v>31</v>
      </c>
      <c r="C36" s="171" t="s">
        <v>129</v>
      </c>
      <c r="D36" s="171" t="s">
        <v>107</v>
      </c>
      <c r="E36" s="162" t="s">
        <v>108</v>
      </c>
      <c r="F36" s="162" t="s">
        <v>109</v>
      </c>
      <c r="G36" s="280" t="s">
        <v>38</v>
      </c>
      <c r="H36" s="281"/>
      <c r="I36" s="281"/>
      <c r="J36" s="281"/>
      <c r="K36" s="282"/>
      <c r="M36" s="76" t="s">
        <v>222</v>
      </c>
    </row>
    <row r="37" spans="1:14" ht="15" customHeight="1" x14ac:dyDescent="0.2">
      <c r="A37" s="197" t="str">
        <f>'Renewables Report'!A67</f>
        <v>Nine Canyon Wind Project - Nine Canyon Phase 3</v>
      </c>
      <c r="B37" s="198" t="str">
        <f>'Renewables Report'!B67</f>
        <v>W697</v>
      </c>
      <c r="C37" s="199">
        <f>'Renewables Report'!C67</f>
        <v>2015</v>
      </c>
      <c r="D37" s="183">
        <f>'Renewables Report'!G67</f>
        <v>9326</v>
      </c>
      <c r="E37" s="177">
        <f>D37*F37</f>
        <v>508546.78</v>
      </c>
      <c r="F37" s="224">
        <v>54.53</v>
      </c>
      <c r="G37" s="172"/>
      <c r="H37" s="77"/>
      <c r="I37" s="77"/>
      <c r="J37" s="77"/>
      <c r="K37" s="173"/>
      <c r="M37" s="221">
        <v>171325</v>
      </c>
      <c r="N37" s="169" t="s">
        <v>212</v>
      </c>
    </row>
    <row r="38" spans="1:14" ht="15" customHeight="1" x14ac:dyDescent="0.2">
      <c r="A38" s="200" t="str">
        <f>'Renewables Report'!A68</f>
        <v>Nine Canyon Wind Project - Nine Canyon Phases 1&amp;2</v>
      </c>
      <c r="B38" s="201" t="str">
        <f>'Renewables Report'!B68</f>
        <v>W684</v>
      </c>
      <c r="C38" s="202">
        <f>'Renewables Report'!C68</f>
        <v>2015</v>
      </c>
      <c r="D38" s="186">
        <f>'Renewables Report'!G68</f>
        <v>16965</v>
      </c>
      <c r="E38" s="177">
        <f>D38*F38</f>
        <v>925101.45000000007</v>
      </c>
      <c r="F38" s="224">
        <v>54.53</v>
      </c>
      <c r="G38" s="172"/>
      <c r="H38" s="77"/>
      <c r="I38" s="77"/>
      <c r="J38" s="77"/>
      <c r="K38" s="173"/>
      <c r="M38" s="76">
        <v>12</v>
      </c>
      <c r="N38" s="169" t="s">
        <v>213</v>
      </c>
    </row>
    <row r="39" spans="1:14" ht="15" customHeight="1" x14ac:dyDescent="0.2">
      <c r="A39" s="200">
        <f>'Renewables Report'!A69</f>
        <v>0</v>
      </c>
      <c r="B39" s="201">
        <f>'Renewables Report'!B69</f>
        <v>0</v>
      </c>
      <c r="C39" s="202">
        <f>'Renewables Report'!C69</f>
        <v>0</v>
      </c>
      <c r="D39" s="186">
        <f>'Renewables Report'!G69</f>
        <v>0</v>
      </c>
      <c r="E39" s="178"/>
      <c r="F39" s="209" t="str">
        <f t="shared" ref="F39:F61" si="3">IF(D39&gt;0,E39/D39,"")</f>
        <v/>
      </c>
      <c r="G39" s="172"/>
      <c r="H39" s="77"/>
      <c r="I39" s="77"/>
      <c r="J39" s="77"/>
      <c r="K39" s="173"/>
      <c r="M39" s="221">
        <f>M38*M37</f>
        <v>2055900</v>
      </c>
      <c r="N39" s="169" t="s">
        <v>214</v>
      </c>
    </row>
    <row r="40" spans="1:14" ht="15" customHeight="1" x14ac:dyDescent="0.2">
      <c r="A40" s="200">
        <f>'Renewables Report'!A70</f>
        <v>0</v>
      </c>
      <c r="B40" s="201">
        <f>'Renewables Report'!B70</f>
        <v>0</v>
      </c>
      <c r="C40" s="202">
        <f>'Renewables Report'!C70</f>
        <v>0</v>
      </c>
      <c r="D40" s="186">
        <f>'Renewables Report'!G70</f>
        <v>0</v>
      </c>
      <c r="E40" s="178"/>
      <c r="F40" s="209" t="str">
        <f t="shared" si="3"/>
        <v/>
      </c>
      <c r="G40" s="172"/>
      <c r="H40" s="77"/>
      <c r="I40" s="77"/>
      <c r="J40" s="77"/>
      <c r="K40" s="173"/>
      <c r="M40" s="220">
        <f>D37+D38</f>
        <v>26291</v>
      </c>
      <c r="N40" s="169" t="s">
        <v>215</v>
      </c>
    </row>
    <row r="41" spans="1:14" ht="15" customHeight="1" x14ac:dyDescent="0.2">
      <c r="A41" s="200">
        <f>'Renewables Report'!A71</f>
        <v>0</v>
      </c>
      <c r="B41" s="201">
        <f>'Renewables Report'!B71</f>
        <v>0</v>
      </c>
      <c r="C41" s="202">
        <f>'Renewables Report'!C71</f>
        <v>0</v>
      </c>
      <c r="D41" s="186">
        <f>'Renewables Report'!G71</f>
        <v>0</v>
      </c>
      <c r="E41" s="178"/>
      <c r="F41" s="209" t="str">
        <f t="shared" si="3"/>
        <v/>
      </c>
      <c r="G41" s="172"/>
      <c r="H41" s="77"/>
      <c r="I41" s="77"/>
      <c r="J41" s="77"/>
      <c r="K41" s="173"/>
      <c r="M41" s="221">
        <f>M39/M40</f>
        <v>78.197862386367959</v>
      </c>
      <c r="N41" s="223" t="s">
        <v>216</v>
      </c>
    </row>
    <row r="42" spans="1:14" ht="15" customHeight="1" x14ac:dyDescent="0.2">
      <c r="A42" s="200">
        <f>'Renewables Report'!A72</f>
        <v>0</v>
      </c>
      <c r="B42" s="201">
        <f>'Renewables Report'!B72</f>
        <v>0</v>
      </c>
      <c r="C42" s="202">
        <f>'Renewables Report'!C72</f>
        <v>0</v>
      </c>
      <c r="D42" s="186">
        <f>'Renewables Report'!G72</f>
        <v>0</v>
      </c>
      <c r="E42" s="178"/>
      <c r="F42" s="209" t="str">
        <f t="shared" si="3"/>
        <v/>
      </c>
      <c r="G42" s="172"/>
      <c r="H42" s="77"/>
      <c r="I42" s="77"/>
      <c r="J42" s="77"/>
      <c r="K42" s="173"/>
      <c r="M42" s="221">
        <v>23.67</v>
      </c>
      <c r="N42" s="169" t="s">
        <v>217</v>
      </c>
    </row>
    <row r="43" spans="1:14" ht="15" customHeight="1" x14ac:dyDescent="0.2">
      <c r="A43" s="200">
        <f>'Renewables Report'!A73</f>
        <v>0</v>
      </c>
      <c r="B43" s="201">
        <f>'Renewables Report'!B73</f>
        <v>0</v>
      </c>
      <c r="C43" s="202">
        <f>'Renewables Report'!C73</f>
        <v>0</v>
      </c>
      <c r="D43" s="186">
        <f>'Renewables Report'!G73</f>
        <v>0</v>
      </c>
      <c r="E43" s="178"/>
      <c r="F43" s="209" t="str">
        <f t="shared" si="3"/>
        <v/>
      </c>
      <c r="G43" s="172"/>
      <c r="H43" s="77"/>
      <c r="I43" s="77"/>
      <c r="J43" s="77"/>
      <c r="K43" s="173"/>
      <c r="M43" s="222">
        <f>M41-M42</f>
        <v>54.527862386367957</v>
      </c>
      <c r="N43" s="169" t="s">
        <v>218</v>
      </c>
    </row>
    <row r="44" spans="1:14" ht="15" customHeight="1" x14ac:dyDescent="0.2">
      <c r="A44" s="200">
        <f>'Renewables Report'!A74</f>
        <v>0</v>
      </c>
      <c r="B44" s="201">
        <f>'Renewables Report'!B74</f>
        <v>0</v>
      </c>
      <c r="C44" s="202">
        <f>'Renewables Report'!C74</f>
        <v>0</v>
      </c>
      <c r="D44" s="186">
        <f>'Renewables Report'!G74</f>
        <v>0</v>
      </c>
      <c r="E44" s="178"/>
      <c r="F44" s="209" t="str">
        <f t="shared" si="3"/>
        <v/>
      </c>
      <c r="G44" s="172"/>
      <c r="H44" s="77"/>
      <c r="I44" s="77"/>
      <c r="J44" s="77"/>
      <c r="K44" s="173"/>
    </row>
    <row r="45" spans="1:14" ht="15" customHeight="1" x14ac:dyDescent="0.2">
      <c r="A45" s="200">
        <f>'Renewables Report'!A75</f>
        <v>0</v>
      </c>
      <c r="B45" s="201">
        <f>'Renewables Report'!B75</f>
        <v>0</v>
      </c>
      <c r="C45" s="202">
        <f>'Renewables Report'!C75</f>
        <v>0</v>
      </c>
      <c r="D45" s="186">
        <f>'Renewables Report'!G75</f>
        <v>0</v>
      </c>
      <c r="E45" s="178"/>
      <c r="F45" s="209" t="str">
        <f t="shared" si="3"/>
        <v/>
      </c>
      <c r="G45" s="172"/>
      <c r="H45" s="77"/>
      <c r="I45" s="77"/>
      <c r="J45" s="77"/>
      <c r="K45" s="173"/>
    </row>
    <row r="46" spans="1:14" ht="15" customHeight="1" x14ac:dyDescent="0.2">
      <c r="A46" s="200">
        <f>'Renewables Report'!A76</f>
        <v>0</v>
      </c>
      <c r="B46" s="201">
        <f>'Renewables Report'!B76</f>
        <v>0</v>
      </c>
      <c r="C46" s="202">
        <f>'Renewables Report'!C76</f>
        <v>0</v>
      </c>
      <c r="D46" s="186">
        <f>'Renewables Report'!G76</f>
        <v>0</v>
      </c>
      <c r="E46" s="178"/>
      <c r="F46" s="209" t="str">
        <f t="shared" si="3"/>
        <v/>
      </c>
      <c r="G46" s="172"/>
      <c r="H46" s="77"/>
      <c r="I46" s="77"/>
      <c r="J46" s="77"/>
      <c r="K46" s="173"/>
    </row>
    <row r="47" spans="1:14" ht="15" customHeight="1" x14ac:dyDescent="0.2">
      <c r="A47" s="200">
        <f>'Renewables Report'!A77</f>
        <v>0</v>
      </c>
      <c r="B47" s="201">
        <f>'Renewables Report'!B77</f>
        <v>0</v>
      </c>
      <c r="C47" s="202">
        <f>'Renewables Report'!C77</f>
        <v>0</v>
      </c>
      <c r="D47" s="186">
        <f>'Renewables Report'!G77</f>
        <v>0</v>
      </c>
      <c r="E47" s="178"/>
      <c r="F47" s="209" t="str">
        <f t="shared" si="3"/>
        <v/>
      </c>
      <c r="G47" s="172"/>
      <c r="H47" s="77"/>
      <c r="I47" s="77"/>
      <c r="J47" s="77"/>
      <c r="K47" s="173"/>
    </row>
    <row r="48" spans="1:14" ht="15" customHeight="1" x14ac:dyDescent="0.2">
      <c r="A48" s="200">
        <f>'Renewables Report'!A78</f>
        <v>0</v>
      </c>
      <c r="B48" s="201">
        <f>'Renewables Report'!B78</f>
        <v>0</v>
      </c>
      <c r="C48" s="202">
        <f>'Renewables Report'!C78</f>
        <v>0</v>
      </c>
      <c r="D48" s="186">
        <f>'Renewables Report'!G78</f>
        <v>0</v>
      </c>
      <c r="E48" s="178"/>
      <c r="F48" s="209" t="str">
        <f t="shared" si="3"/>
        <v/>
      </c>
      <c r="G48" s="172"/>
      <c r="H48" s="77"/>
      <c r="I48" s="77"/>
      <c r="J48" s="77"/>
      <c r="K48" s="173"/>
    </row>
    <row r="49" spans="1:11" ht="15" customHeight="1" x14ac:dyDescent="0.2">
      <c r="A49" s="200">
        <f>'Renewables Report'!A79</f>
        <v>0</v>
      </c>
      <c r="B49" s="201">
        <f>'Renewables Report'!B79</f>
        <v>0</v>
      </c>
      <c r="C49" s="202">
        <f>'Renewables Report'!C79</f>
        <v>0</v>
      </c>
      <c r="D49" s="186">
        <f>'Renewables Report'!G79</f>
        <v>0</v>
      </c>
      <c r="E49" s="178"/>
      <c r="F49" s="209" t="str">
        <f t="shared" si="3"/>
        <v/>
      </c>
      <c r="G49" s="172"/>
      <c r="H49" s="77"/>
      <c r="I49" s="77"/>
      <c r="J49" s="77"/>
      <c r="K49" s="173"/>
    </row>
    <row r="50" spans="1:11" ht="15" customHeight="1" x14ac:dyDescent="0.2">
      <c r="A50" s="200">
        <f>'Renewables Report'!A80</f>
        <v>0</v>
      </c>
      <c r="B50" s="201">
        <f>'Renewables Report'!B80</f>
        <v>0</v>
      </c>
      <c r="C50" s="202">
        <f>'Renewables Report'!C80</f>
        <v>0</v>
      </c>
      <c r="D50" s="186">
        <f>'Renewables Report'!G80</f>
        <v>0</v>
      </c>
      <c r="E50" s="178"/>
      <c r="F50" s="209" t="str">
        <f t="shared" si="3"/>
        <v/>
      </c>
      <c r="G50" s="172"/>
      <c r="H50" s="77"/>
      <c r="I50" s="77"/>
      <c r="J50" s="77"/>
      <c r="K50" s="173"/>
    </row>
    <row r="51" spans="1:11" ht="15" customHeight="1" x14ac:dyDescent="0.2">
      <c r="A51" s="200">
        <f>'Renewables Report'!A81</f>
        <v>0</v>
      </c>
      <c r="B51" s="201">
        <f>'Renewables Report'!B81</f>
        <v>0</v>
      </c>
      <c r="C51" s="202">
        <f>'Renewables Report'!C81</f>
        <v>0</v>
      </c>
      <c r="D51" s="186">
        <f>'Renewables Report'!G81</f>
        <v>0</v>
      </c>
      <c r="E51" s="178"/>
      <c r="F51" s="209" t="str">
        <f t="shared" si="3"/>
        <v/>
      </c>
      <c r="G51" s="172"/>
      <c r="H51" s="77"/>
      <c r="I51" s="77"/>
      <c r="J51" s="77"/>
      <c r="K51" s="173"/>
    </row>
    <row r="52" spans="1:11" ht="15" customHeight="1" x14ac:dyDescent="0.2">
      <c r="A52" s="200">
        <f>'Renewables Report'!A82</f>
        <v>0</v>
      </c>
      <c r="B52" s="201">
        <f>'Renewables Report'!B82</f>
        <v>0</v>
      </c>
      <c r="C52" s="202">
        <f>'Renewables Report'!C82</f>
        <v>0</v>
      </c>
      <c r="D52" s="186">
        <f>'Renewables Report'!G82</f>
        <v>0</v>
      </c>
      <c r="E52" s="178"/>
      <c r="F52" s="209" t="str">
        <f t="shared" si="3"/>
        <v/>
      </c>
      <c r="G52" s="172"/>
      <c r="H52" s="77"/>
      <c r="I52" s="77"/>
      <c r="J52" s="77"/>
      <c r="K52" s="173"/>
    </row>
    <row r="53" spans="1:11" ht="15" customHeight="1" x14ac:dyDescent="0.2">
      <c r="A53" s="200">
        <f>'Renewables Report'!A83</f>
        <v>0</v>
      </c>
      <c r="B53" s="201">
        <f>'Renewables Report'!B83</f>
        <v>0</v>
      </c>
      <c r="C53" s="202">
        <f>'Renewables Report'!C83</f>
        <v>0</v>
      </c>
      <c r="D53" s="186">
        <f>'Renewables Report'!G83</f>
        <v>0</v>
      </c>
      <c r="E53" s="178"/>
      <c r="F53" s="209" t="str">
        <f t="shared" si="3"/>
        <v/>
      </c>
      <c r="G53" s="172"/>
      <c r="H53" s="77"/>
      <c r="I53" s="77"/>
      <c r="J53" s="77"/>
      <c r="K53" s="173"/>
    </row>
    <row r="54" spans="1:11" ht="15" customHeight="1" x14ac:dyDescent="0.2">
      <c r="A54" s="200">
        <f>'Renewables Report'!A84</f>
        <v>0</v>
      </c>
      <c r="B54" s="201">
        <f>'Renewables Report'!B84</f>
        <v>0</v>
      </c>
      <c r="C54" s="202">
        <f>'Renewables Report'!C84</f>
        <v>0</v>
      </c>
      <c r="D54" s="186">
        <f>'Renewables Report'!G84</f>
        <v>0</v>
      </c>
      <c r="E54" s="178"/>
      <c r="F54" s="209" t="str">
        <f t="shared" si="3"/>
        <v/>
      </c>
      <c r="G54" s="172"/>
      <c r="H54" s="77"/>
      <c r="I54" s="77"/>
      <c r="J54" s="77"/>
      <c r="K54" s="173"/>
    </row>
    <row r="55" spans="1:11" ht="15" customHeight="1" x14ac:dyDescent="0.2">
      <c r="A55" s="200">
        <f>'Renewables Report'!A85</f>
        <v>0</v>
      </c>
      <c r="B55" s="201">
        <f>'Renewables Report'!B85</f>
        <v>0</v>
      </c>
      <c r="C55" s="202">
        <f>'Renewables Report'!C85</f>
        <v>0</v>
      </c>
      <c r="D55" s="186">
        <f>'Renewables Report'!G85</f>
        <v>0</v>
      </c>
      <c r="E55" s="178"/>
      <c r="F55" s="209" t="str">
        <f t="shared" si="3"/>
        <v/>
      </c>
      <c r="G55" s="172"/>
      <c r="H55" s="77"/>
      <c r="I55" s="77"/>
      <c r="J55" s="77"/>
      <c r="K55" s="173"/>
    </row>
    <row r="56" spans="1:11" ht="15" customHeight="1" x14ac:dyDescent="0.2">
      <c r="A56" s="200">
        <f>'Renewables Report'!A86</f>
        <v>0</v>
      </c>
      <c r="B56" s="201">
        <f>'Renewables Report'!B86</f>
        <v>0</v>
      </c>
      <c r="C56" s="202">
        <f>'Renewables Report'!C86</f>
        <v>0</v>
      </c>
      <c r="D56" s="186">
        <f>'Renewables Report'!G86</f>
        <v>0</v>
      </c>
      <c r="E56" s="178"/>
      <c r="F56" s="209" t="str">
        <f t="shared" si="3"/>
        <v/>
      </c>
      <c r="G56" s="172"/>
      <c r="H56" s="77"/>
      <c r="I56" s="77"/>
      <c r="J56" s="77"/>
      <c r="K56" s="173"/>
    </row>
    <row r="57" spans="1:11" ht="15" customHeight="1" x14ac:dyDescent="0.2">
      <c r="A57" s="200">
        <f>'Renewables Report'!A87</f>
        <v>0</v>
      </c>
      <c r="B57" s="201">
        <f>'Renewables Report'!B87</f>
        <v>0</v>
      </c>
      <c r="C57" s="202">
        <f>'Renewables Report'!C87</f>
        <v>0</v>
      </c>
      <c r="D57" s="186">
        <f>'Renewables Report'!G87</f>
        <v>0</v>
      </c>
      <c r="E57" s="178"/>
      <c r="F57" s="209" t="str">
        <f t="shared" si="3"/>
        <v/>
      </c>
      <c r="G57" s="172"/>
      <c r="H57" s="77"/>
      <c r="I57" s="77"/>
      <c r="J57" s="77"/>
      <c r="K57" s="173"/>
    </row>
    <row r="58" spans="1:11" ht="15" customHeight="1" x14ac:dyDescent="0.2">
      <c r="A58" s="200">
        <f>'Renewables Report'!A88</f>
        <v>0</v>
      </c>
      <c r="B58" s="201">
        <f>'Renewables Report'!B88</f>
        <v>0</v>
      </c>
      <c r="C58" s="202">
        <f>'Renewables Report'!C88</f>
        <v>0</v>
      </c>
      <c r="D58" s="186">
        <f>'Renewables Report'!G88</f>
        <v>0</v>
      </c>
      <c r="E58" s="178"/>
      <c r="F58" s="209" t="str">
        <f t="shared" si="3"/>
        <v/>
      </c>
      <c r="G58" s="172"/>
      <c r="H58" s="77"/>
      <c r="I58" s="77"/>
      <c r="J58" s="77"/>
      <c r="K58" s="173"/>
    </row>
    <row r="59" spans="1:11" ht="15" customHeight="1" x14ac:dyDescent="0.2">
      <c r="A59" s="200">
        <f>'Renewables Report'!A89</f>
        <v>0</v>
      </c>
      <c r="B59" s="201">
        <f>'Renewables Report'!B89</f>
        <v>0</v>
      </c>
      <c r="C59" s="202">
        <f>'Renewables Report'!C89</f>
        <v>0</v>
      </c>
      <c r="D59" s="186">
        <f>'Renewables Report'!G89</f>
        <v>0</v>
      </c>
      <c r="E59" s="178"/>
      <c r="F59" s="209" t="str">
        <f t="shared" si="3"/>
        <v/>
      </c>
      <c r="G59" s="172"/>
      <c r="H59" s="77"/>
      <c r="I59" s="77"/>
      <c r="J59" s="77"/>
      <c r="K59" s="173"/>
    </row>
    <row r="60" spans="1:11" ht="15" customHeight="1" x14ac:dyDescent="0.2">
      <c r="A60" s="200">
        <f>'Renewables Report'!A90</f>
        <v>0</v>
      </c>
      <c r="B60" s="201">
        <f>'Renewables Report'!B90</f>
        <v>0</v>
      </c>
      <c r="C60" s="202">
        <f>'Renewables Report'!C90</f>
        <v>0</v>
      </c>
      <c r="D60" s="186">
        <f>'Renewables Report'!G90</f>
        <v>0</v>
      </c>
      <c r="E60" s="178"/>
      <c r="F60" s="209" t="str">
        <f t="shared" si="3"/>
        <v/>
      </c>
      <c r="G60" s="172"/>
      <c r="H60" s="77"/>
      <c r="I60" s="77"/>
      <c r="J60" s="77"/>
      <c r="K60" s="173"/>
    </row>
    <row r="61" spans="1:11" ht="15" customHeight="1" x14ac:dyDescent="0.2">
      <c r="A61" s="203">
        <f>'Renewables Report'!A91</f>
        <v>0</v>
      </c>
      <c r="B61" s="204">
        <f>'Renewables Report'!B91</f>
        <v>0</v>
      </c>
      <c r="C61" s="205">
        <f>'Renewables Report'!C91</f>
        <v>0</v>
      </c>
      <c r="D61" s="206">
        <f>'Renewables Report'!G91</f>
        <v>0</v>
      </c>
      <c r="E61" s="179"/>
      <c r="F61" s="210" t="str">
        <f t="shared" si="3"/>
        <v/>
      </c>
      <c r="G61" s="172"/>
      <c r="H61" s="77"/>
      <c r="I61" s="77"/>
      <c r="J61" s="77"/>
      <c r="K61" s="173"/>
    </row>
    <row r="62" spans="1:11" ht="15" customHeight="1" x14ac:dyDescent="0.2">
      <c r="A62" s="190" t="s">
        <v>6</v>
      </c>
      <c r="B62" s="207"/>
      <c r="C62" s="207"/>
      <c r="D62" s="208"/>
      <c r="E62" s="195">
        <f>SUM(E37:E61)</f>
        <v>1433648.23</v>
      </c>
      <c r="F62" s="208"/>
      <c r="G62" s="174"/>
      <c r="H62" s="175"/>
      <c r="I62" s="175"/>
      <c r="J62" s="175"/>
      <c r="K62" s="176"/>
    </row>
  </sheetData>
  <mergeCells count="29">
    <mergeCell ref="F19:H19"/>
    <mergeCell ref="F20:H20"/>
    <mergeCell ref="F21:H21"/>
    <mergeCell ref="F14:H14"/>
    <mergeCell ref="F15:H15"/>
    <mergeCell ref="F16:H16"/>
    <mergeCell ref="F17:H17"/>
    <mergeCell ref="F18:H18"/>
    <mergeCell ref="F9:H9"/>
    <mergeCell ref="F10:H10"/>
    <mergeCell ref="F11:H11"/>
    <mergeCell ref="F12:H12"/>
    <mergeCell ref="F13:H13"/>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Public Utility District No. 2 of Grant County</v>
      </c>
      <c r="B2">
        <f>+CON_2014_Agriculture_Expend</f>
        <v>610198</v>
      </c>
      <c r="C2">
        <f>+CON_2014_Agriculture_MWH</f>
        <v>6060.66</v>
      </c>
      <c r="D2">
        <f>+CON_2014_Commercial_Expend</f>
        <v>645576</v>
      </c>
      <c r="E2">
        <f>+CON_2014_Commercial_MWH</f>
        <v>3757.56</v>
      </c>
      <c r="F2">
        <f>+CON_2014_Distribution_Expend</f>
        <v>0</v>
      </c>
      <c r="G2">
        <f>+CON_2014_Distribution_MWH</f>
        <v>0</v>
      </c>
      <c r="H2">
        <f>+CON_2014_Expenditures</f>
        <v>3203758</v>
      </c>
      <c r="I2">
        <f>+CON_2014_Industrial_Expend</f>
        <v>460931</v>
      </c>
      <c r="J2">
        <f>+CON_2014_Industrial_MWH</f>
        <v>8640.51</v>
      </c>
      <c r="K2">
        <f>+CON_2014_MWH</f>
        <v>20132.330000000002</v>
      </c>
      <c r="L2">
        <f>+CON_2014_NEEA_Expend</f>
        <v>0</v>
      </c>
      <c r="M2">
        <f>+CON_2014_NEEA_MWH</f>
        <v>0</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919955</v>
      </c>
      <c r="U2">
        <f>+CON_2014_Program2_Expend</f>
        <v>0</v>
      </c>
      <c r="V2">
        <f>+CON_2014_Residential_Expend</f>
        <v>567098</v>
      </c>
      <c r="W2">
        <f>+CON_2014_Residential_MWH</f>
        <v>1673.6</v>
      </c>
      <c r="X2">
        <f>+CON_2015_Agriculture_Expend</f>
        <v>398488</v>
      </c>
      <c r="Y2">
        <f>+CON_2015_Agriculture_MWH</f>
        <v>3825</v>
      </c>
      <c r="Z2">
        <f>+CON_2015_Commercial_Expend</f>
        <v>172394</v>
      </c>
      <c r="AA2">
        <f>+CON_2015_Commercial_MWH</f>
        <v>604.41999999999996</v>
      </c>
      <c r="AB2">
        <f>+CON_2015_Distribution_Expend</f>
        <v>0</v>
      </c>
      <c r="AC2">
        <f>+CON_2015_Distribution_MWH</f>
        <v>0</v>
      </c>
      <c r="AD2">
        <f>+CON_2015_Expenditures</f>
        <v>2389800</v>
      </c>
      <c r="AE2">
        <f>+CON_2015_Industrial_Expend</f>
        <v>828290</v>
      </c>
      <c r="AF2">
        <f>+CON_2015_Industrial_MWH</f>
        <v>10169.02</v>
      </c>
      <c r="AG2">
        <f>+CON_2015_MWH</f>
        <v>16324.3</v>
      </c>
      <c r="AH2">
        <f>+CON_2015_NEEA_Expend</f>
        <v>0</v>
      </c>
      <c r="AI2">
        <f>+CON_2015_NEEA_MWH</f>
        <v>0</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424343</v>
      </c>
      <c r="AQ2">
        <f>+CON_2015_Program2_Expend</f>
        <v>0</v>
      </c>
      <c r="AR2">
        <f>+CON_2015_Residential_Expend</f>
        <v>566285</v>
      </c>
      <c r="AS2">
        <f>+CON_2015_Residential_MWH</f>
        <v>1725.86</v>
      </c>
      <c r="AT2" t="str">
        <f>+CON_Contact_Name</f>
        <v>Diane Chestnut/ Customer Service</v>
      </c>
      <c r="AU2" t="str">
        <f>+CON_Email</f>
        <v>dchestn@gcpud.org</v>
      </c>
      <c r="AV2" t="str">
        <f>+CON_Phone</f>
        <v>509.766.2534</v>
      </c>
      <c r="AW2">
        <f>+CON_Potential_2015_2023</f>
        <v>182471</v>
      </c>
      <c r="AX2">
        <f>+CON_Potential_2016_2025</f>
        <v>175550</v>
      </c>
      <c r="AY2">
        <f>+CON_Report_Date</f>
        <v>42479</v>
      </c>
      <c r="AZ2">
        <f>+CON_Target_2014_2015</f>
        <v>34251</v>
      </c>
      <c r="BA2">
        <f>+CON_Target_2016_2017</f>
        <v>26718</v>
      </c>
      <c r="BB2" t="str">
        <f>+CON_Utility_Name</f>
        <v>Public Utility District No. 2 of Grant County</v>
      </c>
      <c r="BC2" t="str">
        <f>+REN_Contact_Name</f>
        <v>Casey Sprouse, Power Management</v>
      </c>
      <c r="BD2" t="str">
        <f>+REN_Email</f>
        <v>csprous@gcpud.org</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366226</v>
      </c>
      <c r="BN2">
        <f>+REN_ERR_Wind</f>
        <v>0</v>
      </c>
      <c r="BO2">
        <f>+REN_ERR_WOT</f>
        <v>0</v>
      </c>
      <c r="BP2">
        <f>+REN_Expenditure_Amount_2016</f>
        <v>1433648.23</v>
      </c>
      <c r="BQ2">
        <f>+REN_Expenditure_Percent_2016</f>
        <v>7.878443433294316E-3</v>
      </c>
      <c r="BR2">
        <f>+REN_Load_2014</f>
        <v>4182616.2059999998</v>
      </c>
      <c r="BS2">
        <f>+REN_Load_2015</f>
        <v>4539976.3219999997</v>
      </c>
      <c r="BT2">
        <f>+REN_REC_ApprenticeLabor</f>
        <v>0</v>
      </c>
      <c r="BU2">
        <f>+REN_REC_Biodiesel</f>
        <v>0</v>
      </c>
      <c r="BV2">
        <f>+REN_REC_Biomass</f>
        <v>0</v>
      </c>
      <c r="BW2">
        <f>+REN_REC_DistributedGeneration</f>
        <v>0</v>
      </c>
      <c r="BX2">
        <f>+REN_REC_Geothermal</f>
        <v>0</v>
      </c>
      <c r="BY2">
        <f>+REN_REC_LandfillGas</f>
        <v>0</v>
      </c>
      <c r="BZ2">
        <f>REN_REC_QBE</f>
        <v>0</v>
      </c>
      <c r="CA2">
        <f>+REN_REC_SewageGas</f>
        <v>0</v>
      </c>
      <c r="CB2">
        <f>+REN_REC_Solar</f>
        <v>0</v>
      </c>
      <c r="CC2">
        <f>+REN_REC_Wind</f>
        <v>26291</v>
      </c>
      <c r="CD2">
        <f>+REN_REC_WOT</f>
        <v>0</v>
      </c>
      <c r="CE2">
        <f>+REN_RetailRevenueRequirement_2016</f>
        <v>181971000</v>
      </c>
      <c r="CF2">
        <f>+REN_Submittal_Date</f>
        <v>42490</v>
      </c>
      <c r="CG2">
        <f>+REN_Total_2016</f>
        <v>392517</v>
      </c>
      <c r="CH2" t="str">
        <f>+REN_Utility_Name</f>
        <v>Public Utility District No. 2 of Grant County</v>
      </c>
    </row>
    <row r="6" spans="1:86" x14ac:dyDescent="0.25">
      <c r="A6" s="14" t="s">
        <v>14</v>
      </c>
    </row>
    <row r="7" spans="1:86" x14ac:dyDescent="0.25">
      <c r="A7" s="14" t="s">
        <v>15</v>
      </c>
    </row>
    <row r="8" spans="1:86" x14ac:dyDescent="0.25">
      <c r="A8" s="14" t="s">
        <v>173</v>
      </c>
    </row>
    <row r="9" spans="1:86" x14ac:dyDescent="0.25">
      <c r="A9" s="14" t="s">
        <v>176</v>
      </c>
    </row>
    <row r="10" spans="1:86" x14ac:dyDescent="0.25">
      <c r="A10" s="14" t="s">
        <v>177</v>
      </c>
    </row>
    <row r="11" spans="1:86" x14ac:dyDescent="0.25">
      <c r="A11" s="14" t="s">
        <v>174</v>
      </c>
    </row>
    <row r="12" spans="1:86" x14ac:dyDescent="0.25">
      <c r="A12" s="14" t="s">
        <v>16</v>
      </c>
    </row>
    <row r="13" spans="1:86" x14ac:dyDescent="0.25">
      <c r="A13" s="14" t="s">
        <v>23</v>
      </c>
    </row>
    <row r="14" spans="1:86" x14ac:dyDescent="0.25">
      <c r="A14" s="14" t="s">
        <v>17</v>
      </c>
    </row>
    <row r="15" spans="1:86" x14ac:dyDescent="0.2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sharepoint/v3"/>
    <ds:schemaRef ds:uri="http://schemas.microsoft.com/office/2006/metadata/properties"/>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29015566-319C-448F-AB73-C7E15A64E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csprous</cp:lastModifiedBy>
  <cp:lastPrinted>2016-04-25T22:56:33Z</cp:lastPrinted>
  <dcterms:created xsi:type="dcterms:W3CDTF">2012-03-20T21:01:26Z</dcterms:created>
  <dcterms:modified xsi:type="dcterms:W3CDTF">2016-05-06T17:50:24Z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