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0" yWindow="30" windowWidth="10920" windowHeight="6015" tabRatio="719" activeTab="2"/>
  </bookViews>
  <sheets>
    <sheet name="Background" sheetId="21" r:id="rId1"/>
    <sheet name="Instructions - Revise 2014"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Report'!$D$22</definedName>
    <definedName name="CON_2014_Agriculture_MWH">'Conservation Report'!$C$22</definedName>
    <definedName name="CON_2014_Commercial_Expend">'Conservation Report'!$D$20</definedName>
    <definedName name="CON_2014_Commercial_MWH">'Conservation Report'!$C$20</definedName>
    <definedName name="CON_2014_Distribution_Expend">'Conservation Report'!$D$23</definedName>
    <definedName name="CON_2014_Distribution_MWH">'Conservation Report'!$C$23</definedName>
    <definedName name="CON_2014_Expenditures">'Conservation Report'!$D$31</definedName>
    <definedName name="CON_2014_Industrial_Expend">'Conservation Report'!$D$21</definedName>
    <definedName name="CON_2014_Industrial_MWH">'Conservation Report'!$C$21</definedName>
    <definedName name="CON_2014_MWH">'Conservation Report'!$C$31</definedName>
    <definedName name="CON_2014_NEEA_Expend">'Conservation Report'!$D$25</definedName>
    <definedName name="CON_2014_NEEA_MWH">'Conservation Report'!$C$25</definedName>
    <definedName name="CON_2014_OtherSector1_Expend">'Conservation Report'!$D$26</definedName>
    <definedName name="CON_2014_OtherSector1_MWH">'Conservation Report'!$C$26</definedName>
    <definedName name="CON_2014_OtherSector2_Expend">'Conservation Report'!$D$27</definedName>
    <definedName name="CON_2014_OtherSector2_MWH">'Conservation Report'!$C$27</definedName>
    <definedName name="CON_2014_Production_Expend">'Conservation Report'!$D$24</definedName>
    <definedName name="CON_2014_Production_MWH">'Conservation Report'!$C$24</definedName>
    <definedName name="CON_2014_Program1_Expend">'Conservation Report'!$D$29</definedName>
    <definedName name="CON_2014_Program2_Expend">'Conservation Report'!$D$30</definedName>
    <definedName name="CON_2014_Residential_Expend">'Conservation Report'!$D$19</definedName>
    <definedName name="CON_2014_Residential_MWH">'Conservation Report'!$C$19</definedName>
    <definedName name="CON_2015_Agriculture_Expend">'Conservation Report'!$G$22</definedName>
    <definedName name="CON_2015_Agriculture_MWH">'Conservation Report'!$F$22</definedName>
    <definedName name="CON_2015_Commercial_Expend">'Conservation Report'!$G$20</definedName>
    <definedName name="CON_2015_Commercial_MWH">'Conservation Report'!$F$20</definedName>
    <definedName name="CON_2015_Distribution_Expend">'Conservation Report'!$G$23</definedName>
    <definedName name="CON_2015_Distribution_MWH">'Conservation Report'!$F$23</definedName>
    <definedName name="CON_2015_Expenditures">'Conservation Report'!$G$31</definedName>
    <definedName name="CON_2015_Industrial_Expend">'Conservation Report'!$G$21</definedName>
    <definedName name="CON_2015_Industrial_MWH">'Conservation Report'!$F$21</definedName>
    <definedName name="CON_2015_MWH">'Conservation Report'!$F$31</definedName>
    <definedName name="CON_2015_NEEA_Expend">'Conservation Report'!$G$25</definedName>
    <definedName name="CON_2015_NEEA_MWH">'Conservation Report'!$F$25</definedName>
    <definedName name="CON_2015_OtherSector1_Expend">'Conservation Report'!$G$26</definedName>
    <definedName name="CON_2015_OtherSector1_MWH">'Conservation Report'!$F$26</definedName>
    <definedName name="CON_2015_OtherSector2_Expend">'Conservation Report'!$G$27</definedName>
    <definedName name="CON_2015_OtherSector2_MWH">'Conservation Report'!$F$27</definedName>
    <definedName name="CON_2015_Production_Expend">'Conservation Report'!$G$24</definedName>
    <definedName name="CON_2015_Production_MWH">'Conservation Report'!$F$24</definedName>
    <definedName name="CON_2015_Program1_Expend">'Conservation Report'!$G$29</definedName>
    <definedName name="CON_2015_Program2_Expend">'Conservation Report'!$G$30</definedName>
    <definedName name="CON_2015_Residential_Expend">'Conservation Report'!$G$19</definedName>
    <definedName name="CON_2015_Residential_MWH">'Conservation Report'!$F$19</definedName>
    <definedName name="CON_Contact_Name">'Conservation Report'!$B$7</definedName>
    <definedName name="CON_Email">'Conservation Report'!$B$9</definedName>
    <definedName name="CON_Phone">'Conservation Report'!$B$8</definedName>
    <definedName name="CON_Potential_2015_2023">'Conservation Report'!$A$14</definedName>
    <definedName name="CON_Potential_2016_2025">'Conservation Report'!$C$14</definedName>
    <definedName name="CON_Report_Date">'Conservation Report'!$B$6</definedName>
    <definedName name="CON_Target_2014_2015">'Conservation Report'!$B$14</definedName>
    <definedName name="CON_Target_2016_2017">'Conservation Report'!$D$14</definedName>
    <definedName name="CON_Utility_Name" localSheetId="0">'[1]Conservation Report'!$C$3:$E$3</definedName>
    <definedName name="CON_Utility_Name">'Conservation Report'!$B$5</definedName>
    <definedName name="_xlnm.Print_Area" localSheetId="2">'Conservation Report'!$A$3:$I$37</definedName>
    <definedName name="_xlnm.Print_Area" localSheetId="4">'Renewable Cost Report'!$A$3:$K$62</definedName>
    <definedName name="_xlnm.Print_Area" localSheetId="3">'Renewables Report'!$A$3:$N$116</definedName>
    <definedName name="REN_Contact_Name">'Renewables Report'!$B$7</definedName>
    <definedName name="REN_Email">'Renewables Report'!$B$9</definedName>
    <definedName name="REN_ERR_ApprenticeLabor">'Renewables Report'!$M$18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QBE">'Renewables Report'!$L$18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6">'Renewables Report'!$M$13</definedName>
    <definedName name="REN_Expenditure_Percent_2016">'Renewables Report'!$M$15</definedName>
    <definedName name="REN_Load_2014">'Renewables Report'!$M$5</definedName>
    <definedName name="REN_Load_2015">'Renewables Report'!$M$6</definedName>
    <definedName name="REN_REC_ApprenticeLabor">'Renewables Report'!$M$19</definedName>
    <definedName name="REN_REC_Biodiesel">'Renewables Report'!$J$19</definedName>
    <definedName name="REN_REC_Biomass">'Renewables Report'!$K$19</definedName>
    <definedName name="REN_REC_DistributedGeneration">'Renewables Report'!$N$19</definedName>
    <definedName name="REN_REC_Geothermal">'Renewables Report'!$F$19</definedName>
    <definedName name="REN_REC_LandfillGas">'Renewables Report'!$G$19</definedName>
    <definedName name="REN_REC_QBE">'Renewables Report'!$L$19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6">'Renewables Report'!$M$14</definedName>
    <definedName name="REN_Submittal_Date">'Renewables Report'!$B$6</definedName>
    <definedName name="REN_Total_2016">'Renewables Report'!$M$10</definedName>
    <definedName name="REN_Utility_Name">'Renewables Report'!$B$5</definedName>
    <definedName name="ResourceType">Data!$A$6:$A$15</definedName>
    <definedName name="ResourceType_REC">Data!$A$7:$A$15</definedName>
  </definedNames>
  <calcPr calcId="145621"/>
</workbook>
</file>

<file path=xl/calcChain.xml><?xml version="1.0" encoding="utf-8"?>
<calcChain xmlns="http://schemas.openxmlformats.org/spreadsheetml/2006/main">
  <c r="I68" i="16" l="1"/>
  <c r="H68" i="16"/>
  <c r="I67" i="16"/>
  <c r="H67" i="16"/>
  <c r="I8" i="18" l="1"/>
  <c r="G8" i="18" l="1"/>
  <c r="I80" i="16" l="1"/>
  <c r="I81" i="16"/>
  <c r="I82" i="16"/>
  <c r="I83" i="16"/>
  <c r="I84" i="16"/>
  <c r="I85" i="16"/>
  <c r="I86" i="16"/>
  <c r="I87" i="16"/>
  <c r="I88" i="16"/>
  <c r="I89" i="16"/>
  <c r="I90" i="16"/>
  <c r="I91" i="16"/>
  <c r="C18" i="16"/>
  <c r="C20" i="16" s="1"/>
  <c r="D39" i="23"/>
  <c r="D40" i="23"/>
  <c r="D41" i="23"/>
  <c r="D42" i="23"/>
  <c r="D43" i="23"/>
  <c r="D44" i="23"/>
  <c r="D45" i="23"/>
  <c r="D46" i="23"/>
  <c r="D47" i="23"/>
  <c r="D48" i="23"/>
  <c r="D49" i="23"/>
  <c r="D50" i="23"/>
  <c r="D51" i="23"/>
  <c r="D52" i="23"/>
  <c r="D53" i="23"/>
  <c r="D54" i="23"/>
  <c r="D55" i="23"/>
  <c r="D56" i="23"/>
  <c r="D57" i="23"/>
  <c r="D58" i="23"/>
  <c r="D59" i="23"/>
  <c r="D60" i="23"/>
  <c r="D61" i="23"/>
  <c r="D38" i="23"/>
  <c r="D37" i="23"/>
  <c r="C11" i="23"/>
  <c r="C12" i="23"/>
  <c r="C13" i="23"/>
  <c r="C14" i="23"/>
  <c r="C15" i="23"/>
  <c r="C16" i="23"/>
  <c r="C17" i="23"/>
  <c r="C18" i="23"/>
  <c r="C19" i="23"/>
  <c r="C20" i="23"/>
  <c r="C21" i="23"/>
  <c r="C22" i="23"/>
  <c r="C23" i="23"/>
  <c r="C24" i="23"/>
  <c r="C25" i="23"/>
  <c r="C26" i="23"/>
  <c r="C27" i="23"/>
  <c r="C28" i="23"/>
  <c r="C29" i="23"/>
  <c r="C10" i="23"/>
  <c r="C9" i="23"/>
  <c r="E19" i="16"/>
  <c r="F19" i="16"/>
  <c r="G19" i="16"/>
  <c r="H19" i="16"/>
  <c r="I19" i="16"/>
  <c r="J19" i="16"/>
  <c r="K19" i="16"/>
  <c r="L19" i="16"/>
  <c r="BZ2" i="19" s="1"/>
  <c r="D19" i="16"/>
  <c r="D18" i="16"/>
  <c r="E18" i="16"/>
  <c r="F18" i="16"/>
  <c r="G18" i="16"/>
  <c r="H18" i="16"/>
  <c r="I18" i="16"/>
  <c r="J18" i="16"/>
  <c r="K18" i="16"/>
  <c r="L18" i="16"/>
  <c r="H91" i="16"/>
  <c r="H80" i="16"/>
  <c r="H81" i="16"/>
  <c r="H82" i="16"/>
  <c r="H83" i="16"/>
  <c r="H84" i="16"/>
  <c r="H85" i="16"/>
  <c r="H86" i="16"/>
  <c r="H87" i="16"/>
  <c r="H88" i="16"/>
  <c r="H89" i="16"/>
  <c r="H90" i="16"/>
  <c r="F41" i="16"/>
  <c r="F42" i="16"/>
  <c r="F43" i="16"/>
  <c r="F44" i="16"/>
  <c r="F45" i="16"/>
  <c r="F46" i="16"/>
  <c r="F47" i="16"/>
  <c r="F49" i="16"/>
  <c r="F50" i="16"/>
  <c r="F51" i="16"/>
  <c r="F52" i="16"/>
  <c r="F53" i="16"/>
  <c r="F54" i="16"/>
  <c r="F55" i="16"/>
  <c r="F56" i="16"/>
  <c r="F57" i="16"/>
  <c r="F58" i="16"/>
  <c r="F59" i="16"/>
  <c r="F60" i="16"/>
  <c r="F40" i="16"/>
  <c r="BJ2" i="19" l="1"/>
  <c r="L20" i="16"/>
  <c r="M19" i="16"/>
  <c r="N19" i="16"/>
  <c r="M18" i="16"/>
  <c r="CH2" i="19"/>
  <c r="CF2" i="19"/>
  <c r="CE2" i="19"/>
  <c r="BS2" i="19"/>
  <c r="BR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B2" i="19"/>
  <c r="G31" i="18" l="1"/>
  <c r="AD2" i="19" s="1"/>
  <c r="F31" i="18"/>
  <c r="AG2" i="19" s="1"/>
  <c r="F38" i="23" l="1"/>
  <c r="K9" i="23"/>
  <c r="F39" i="23"/>
  <c r="F40" i="23"/>
  <c r="F41" i="23"/>
  <c r="F42" i="23"/>
  <c r="F43" i="23"/>
  <c r="F44" i="23"/>
  <c r="F45" i="23"/>
  <c r="F46" i="23"/>
  <c r="F47" i="23"/>
  <c r="F48" i="23"/>
  <c r="F49" i="23"/>
  <c r="F50" i="23"/>
  <c r="F51" i="23"/>
  <c r="F52" i="23"/>
  <c r="F53" i="23"/>
  <c r="F54" i="23"/>
  <c r="F55" i="23"/>
  <c r="F56" i="23"/>
  <c r="F57" i="23"/>
  <c r="F58" i="23"/>
  <c r="F59" i="23"/>
  <c r="F60" i="23"/>
  <c r="F61" i="23"/>
  <c r="F37" i="23"/>
  <c r="K29" i="23" l="1"/>
  <c r="K28" i="23"/>
  <c r="K27" i="23"/>
  <c r="K26" i="23"/>
  <c r="K25" i="23"/>
  <c r="K24" i="23"/>
  <c r="K23" i="23"/>
  <c r="K22" i="23"/>
  <c r="K21" i="23"/>
  <c r="K20" i="23"/>
  <c r="K19" i="23"/>
  <c r="K18" i="23"/>
  <c r="K17" i="23"/>
  <c r="K16" i="23"/>
  <c r="K15" i="23"/>
  <c r="K14" i="23"/>
  <c r="K13" i="23"/>
  <c r="K12" i="23"/>
  <c r="K11" i="23"/>
  <c r="K10" i="23"/>
  <c r="E62" i="23" l="1"/>
  <c r="C61" i="23"/>
  <c r="B61" i="23"/>
  <c r="C60" i="23"/>
  <c r="B60" i="23"/>
  <c r="C59" i="23"/>
  <c r="B59" i="23"/>
  <c r="C58" i="23"/>
  <c r="B58" i="23"/>
  <c r="C57" i="23"/>
  <c r="B57" i="23"/>
  <c r="C56" i="23"/>
  <c r="B56" i="23"/>
  <c r="C55" i="23"/>
  <c r="B55" i="23"/>
  <c r="C54" i="23"/>
  <c r="B54" i="23"/>
  <c r="C53" i="23"/>
  <c r="B53" i="23"/>
  <c r="C52" i="23"/>
  <c r="B52" i="23"/>
  <c r="C51" i="23"/>
  <c r="B51" i="23"/>
  <c r="C50" i="23"/>
  <c r="B50" i="23"/>
  <c r="C49" i="23"/>
  <c r="B49" i="23"/>
  <c r="C48" i="23"/>
  <c r="B48" i="23"/>
  <c r="C47" i="23"/>
  <c r="B47" i="23"/>
  <c r="C46" i="23"/>
  <c r="B46" i="23"/>
  <c r="C45" i="23"/>
  <c r="B45" i="23"/>
  <c r="C44" i="23"/>
  <c r="B44" i="23"/>
  <c r="C43" i="23"/>
  <c r="B43" i="23"/>
  <c r="C42" i="23"/>
  <c r="B42" i="23"/>
  <c r="C41" i="23"/>
  <c r="B41" i="23"/>
  <c r="C40" i="23"/>
  <c r="B40" i="23"/>
  <c r="C39" i="23"/>
  <c r="B39" i="23"/>
  <c r="C38" i="23"/>
  <c r="B38" i="23"/>
  <c r="C37" i="23"/>
  <c r="B37" i="23"/>
  <c r="A61" i="23"/>
  <c r="A60" i="23"/>
  <c r="A59" i="23"/>
  <c r="A58" i="23"/>
  <c r="A57" i="23"/>
  <c r="A56" i="23"/>
  <c r="A55" i="23"/>
  <c r="A54" i="23"/>
  <c r="A53" i="23"/>
  <c r="A52" i="23"/>
  <c r="A51" i="23"/>
  <c r="A50" i="23"/>
  <c r="A49" i="23"/>
  <c r="A48" i="23"/>
  <c r="A47" i="23"/>
  <c r="A46" i="23"/>
  <c r="A45" i="23"/>
  <c r="A44" i="23"/>
  <c r="A43" i="23"/>
  <c r="A42" i="23"/>
  <c r="A41" i="23"/>
  <c r="A40" i="23"/>
  <c r="A39" i="23"/>
  <c r="A38" i="23"/>
  <c r="A37" i="23"/>
  <c r="D30" i="23"/>
  <c r="I30" i="23"/>
  <c r="E10" i="23"/>
  <c r="J11" i="23"/>
  <c r="E12" i="23"/>
  <c r="J13" i="23"/>
  <c r="J14" i="23"/>
  <c r="J15" i="23"/>
  <c r="E16" i="23"/>
  <c r="J17" i="23"/>
  <c r="J18" i="23"/>
  <c r="J19" i="23"/>
  <c r="E20" i="23"/>
  <c r="E21" i="23"/>
  <c r="J22" i="23"/>
  <c r="J23" i="23"/>
  <c r="E24" i="23"/>
  <c r="J25" i="23"/>
  <c r="E26" i="23"/>
  <c r="J27" i="23"/>
  <c r="E28" i="23"/>
  <c r="E29" i="23"/>
  <c r="E9" i="23"/>
  <c r="J28" i="23" l="1"/>
  <c r="J12" i="23"/>
  <c r="J20" i="23"/>
  <c r="K30" i="23"/>
  <c r="M13" i="16" s="1"/>
  <c r="BP2" i="19" s="1"/>
  <c r="J10" i="23"/>
  <c r="J26" i="23"/>
  <c r="E22" i="23"/>
  <c r="J9" i="23"/>
  <c r="J16" i="23"/>
  <c r="J24" i="23"/>
  <c r="C30" i="23"/>
  <c r="E14" i="23"/>
  <c r="E25" i="23"/>
  <c r="E17" i="23"/>
  <c r="J21" i="23"/>
  <c r="J29" i="23"/>
  <c r="E27" i="23"/>
  <c r="E23" i="23"/>
  <c r="E15" i="23"/>
  <c r="E11" i="23"/>
  <c r="E13" i="23"/>
  <c r="A9" i="23"/>
  <c r="B9" i="23"/>
  <c r="A10" i="23"/>
  <c r="B10" i="23"/>
  <c r="A11" i="23"/>
  <c r="B11" i="23"/>
  <c r="A12" i="23"/>
  <c r="B12" i="23"/>
  <c r="A13" i="23"/>
  <c r="B13" i="23"/>
  <c r="A14" i="23"/>
  <c r="B14" i="23"/>
  <c r="A15" i="23"/>
  <c r="B15" i="23"/>
  <c r="A16" i="23"/>
  <c r="B16" i="23"/>
  <c r="A17" i="23"/>
  <c r="B17" i="23"/>
  <c r="A18" i="23"/>
  <c r="B18" i="23"/>
  <c r="A19" i="23"/>
  <c r="B19" i="23"/>
  <c r="A20" i="23"/>
  <c r="B20" i="23"/>
  <c r="A21" i="23"/>
  <c r="B21" i="23"/>
  <c r="A22" i="23"/>
  <c r="B22" i="23"/>
  <c r="A23" i="23"/>
  <c r="B23" i="23"/>
  <c r="A24" i="23"/>
  <c r="B24" i="23"/>
  <c r="A25" i="23"/>
  <c r="B25" i="23"/>
  <c r="A26" i="23"/>
  <c r="B26" i="23"/>
  <c r="A27" i="23"/>
  <c r="B27" i="23"/>
  <c r="A28" i="23"/>
  <c r="B28" i="23"/>
  <c r="A29" i="23"/>
  <c r="B29" i="23"/>
  <c r="E5" i="23"/>
  <c r="E32" i="23" s="1"/>
  <c r="N5" i="21" l="1"/>
  <c r="N7" i="20"/>
  <c r="M7" i="16"/>
  <c r="M9" i="16" s="1"/>
  <c r="A2" i="19" l="1"/>
  <c r="M15" i="16" l="1"/>
  <c r="BQ2" i="19" s="1"/>
  <c r="BM2" i="19" l="1"/>
  <c r="BN2" i="19"/>
  <c r="BL2" i="19"/>
  <c r="BH2" i="19"/>
  <c r="BI2" i="19"/>
  <c r="BO2" i="19"/>
  <c r="BK2" i="19"/>
  <c r="BF2" i="19"/>
  <c r="BG2" i="19"/>
  <c r="BE2" i="19"/>
  <c r="B33" i="18" l="1"/>
  <c r="D31" i="18" l="1"/>
  <c r="C31" i="18"/>
  <c r="H2" i="19" l="1"/>
  <c r="K2" i="19"/>
  <c r="G9" i="18"/>
  <c r="G10" i="18" s="1"/>
  <c r="BW2" i="19"/>
  <c r="N20" i="16" l="1"/>
  <c r="E93" i="16"/>
  <c r="BT2" i="19"/>
  <c r="E62" i="16"/>
  <c r="E36" i="16"/>
  <c r="BV2" i="19"/>
  <c r="BU2" i="19"/>
  <c r="CA2" i="19"/>
  <c r="CD2" i="19"/>
  <c r="BY2" i="19"/>
  <c r="BX2" i="19"/>
  <c r="CB2" i="19"/>
  <c r="CC2" i="19"/>
  <c r="F20" i="16" l="1"/>
  <c r="J20" i="16"/>
  <c r="E20" i="16"/>
  <c r="G20" i="16"/>
  <c r="I20" i="16"/>
  <c r="H20" i="16"/>
  <c r="M20" i="16"/>
  <c r="D20" i="16"/>
  <c r="K20" i="16"/>
  <c r="M10" i="16" l="1"/>
  <c r="CG2" i="19" s="1"/>
</calcChain>
</file>

<file path=xl/comments1.xml><?xml version="1.0" encoding="utf-8"?>
<comments xmlns="http://schemas.openxmlformats.org/spreadsheetml/2006/main">
  <authors>
    <author>Blackmon, Glenn (COM)</author>
  </authors>
  <commentList>
    <comment ref="A11" authorId="0">
      <text>
        <r>
          <rPr>
            <sz val="9"/>
            <color indexed="81"/>
            <rFont val="Tahoma"/>
            <family val="2"/>
          </rPr>
          <t xml:space="preserve">Utilities selecting the Resource Cost or No Load Growth methods must submit additional information. See details in WAC 194-37-110.
</t>
        </r>
      </text>
    </comment>
    <comment ref="K17" authorId="0">
      <text>
        <r>
          <rPr>
            <b/>
            <sz val="9"/>
            <color indexed="81"/>
            <rFont val="Tahoma"/>
            <family val="2"/>
          </rPr>
          <t>NOTE:</t>
        </r>
        <r>
          <rPr>
            <sz val="9"/>
            <color indexed="81"/>
            <rFont val="Tahoma"/>
            <family val="2"/>
          </rPr>
          <t xml:space="preserve"> Biomass energy is electricity from a biomass-fueled generating facility that commenced operation after March 31, 1999, and meets other legal requirements. 
</t>
        </r>
      </text>
    </comment>
    <comment ref="L17" authorId="0">
      <text>
        <r>
          <rPr>
            <b/>
            <sz val="9"/>
            <color indexed="81"/>
            <rFont val="Tahoma"/>
            <family val="2"/>
          </rPr>
          <t xml:space="preserve">NOTE: </t>
        </r>
        <r>
          <rPr>
            <sz val="9"/>
            <color indexed="81"/>
            <rFont val="Tahoma"/>
            <family val="2"/>
          </rPr>
          <t>Qualified biomass energy is defined as electricity generated using biomass at a facility that commenced operation before March 31, 1999.
DO NOT report qualified biomass energy in the "biomass energy" column.</t>
        </r>
      </text>
    </comment>
  </commentList>
</comments>
</file>

<file path=xl/sharedStrings.xml><?xml version="1.0" encoding="utf-8"?>
<sst xmlns="http://schemas.openxmlformats.org/spreadsheetml/2006/main" count="345" uniqueCount="227">
  <si>
    <t>Utility Contact Name/Dept</t>
  </si>
  <si>
    <t>Phone</t>
  </si>
  <si>
    <t>Email</t>
  </si>
  <si>
    <t>Achievement</t>
  </si>
  <si>
    <t>Utility</t>
  </si>
  <si>
    <t>Total</t>
  </si>
  <si>
    <t>MWh</t>
  </si>
  <si>
    <t>Utility Expenditures ($)</t>
  </si>
  <si>
    <t xml:space="preserve"> Residential </t>
  </si>
  <si>
    <t xml:space="preserve"> Commercial</t>
  </si>
  <si>
    <t xml:space="preserve"> Industrial</t>
  </si>
  <si>
    <t xml:space="preserve"> Agriculture</t>
  </si>
  <si>
    <t>Compliance Year</t>
  </si>
  <si>
    <t>Water</t>
  </si>
  <si>
    <t>Wind</t>
  </si>
  <si>
    <t>Landfill Gas</t>
  </si>
  <si>
    <t>Gas from Sewage Treatment</t>
  </si>
  <si>
    <t>Renewable Energy Credits</t>
  </si>
  <si>
    <t>Facility Name</t>
  </si>
  <si>
    <t xml:space="preserve"> Distribution Efficiency</t>
  </si>
  <si>
    <t xml:space="preserve"> Production Efficiency</t>
  </si>
  <si>
    <t>Renewable Resources</t>
  </si>
  <si>
    <t>Wave, Ocean, Tidal</t>
  </si>
  <si>
    <t>Conservation by Sector</t>
  </si>
  <si>
    <t>Eligible Renewable Resources (MWh)</t>
  </si>
  <si>
    <t>Loads and Resources</t>
  </si>
  <si>
    <t>Select</t>
  </si>
  <si>
    <t xml:space="preserve">19.285.040 (2)(b) Renewables Target </t>
  </si>
  <si>
    <t>19.285.040 (2)(d) No Load Growth</t>
  </si>
  <si>
    <t xml:space="preserve">19.285.050 Incremental Resource Cost  </t>
  </si>
  <si>
    <t>WREGIS ID</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</si>
  <si>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</si>
  <si>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</si>
  <si>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</si>
  <si>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</si>
  <si>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</si>
  <si>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</si>
  <si>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</si>
  <si>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</si>
  <si>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</si>
  <si>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</si>
  <si>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CON_Contact_Name</t>
  </si>
  <si>
    <t>CON_Email</t>
  </si>
  <si>
    <t>CON_Phone</t>
  </si>
  <si>
    <t>CON_Report_Date</t>
  </si>
  <si>
    <t>CON_Utility_Name</t>
  </si>
  <si>
    <t>REN_Contact_Name</t>
  </si>
  <si>
    <t>REN_Email</t>
  </si>
  <si>
    <t>REN_Submittal_Date</t>
  </si>
  <si>
    <t>REN_Utility_Name</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</si>
  <si>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</si>
  <si>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</si>
  <si>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</si>
  <si>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</si>
  <si>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</si>
  <si>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</si>
  <si>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</si>
  <si>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</si>
  <si>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</si>
  <si>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</si>
  <si>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</si>
  <si>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</si>
  <si>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</si>
  <si>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</si>
  <si>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</si>
  <si>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</si>
  <si>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</si>
  <si>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</si>
  <si>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</si>
  <si>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</si>
  <si>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</si>
  <si>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</si>
  <si>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</si>
  <si>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2014 Achievement</t>
  </si>
  <si>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</si>
  <si>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</si>
  <si>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</si>
  <si>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</si>
  <si>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</si>
  <si>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</si>
  <si>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</si>
  <si>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</si>
  <si>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</si>
  <si>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</si>
  <si>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</si>
  <si>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</si>
  <si>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</si>
  <si>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</si>
  <si>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</si>
  <si>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</si>
  <si>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</si>
  <si>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</si>
  <si>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</si>
  <si>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</si>
  <si>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</si>
  <si>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Cost per MWH</t>
  </si>
  <si>
    <t>Substitute Resource Cost per MWH</t>
  </si>
  <si>
    <t>Totals</t>
  </si>
  <si>
    <t>2014 Annual Load (MWh)</t>
  </si>
  <si>
    <t>Incremental Cost of Renewable Resources</t>
  </si>
  <si>
    <t xml:space="preserve">Cost of Renewable Energy Credits </t>
  </si>
  <si>
    <t>CON_2014_NEEA_Expend</t>
  </si>
  <si>
    <t>CON_2014_NEEA_MWH</t>
  </si>
  <si>
    <t>REN_Load_2014</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</si>
  <si>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</si>
  <si>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Number of RECs</t>
  </si>
  <si>
    <t>Annual Cost of Renewable Energy Credits</t>
  </si>
  <si>
    <t>Cost per REC</t>
  </si>
  <si>
    <t>Published 3/31/2016</t>
  </si>
  <si>
    <r>
      <t>Deadline:</t>
    </r>
    <r>
      <rPr>
        <sz val="11"/>
        <color rgb="FF000000"/>
        <rFont val="Arial"/>
        <family val="2"/>
      </rPr>
      <t xml:space="preserve"> June 1, 2016</t>
    </r>
  </si>
  <si>
    <t>RENEWABLE ENERGY WORKSHEET – REVISIONS TO 2014 REPORT</t>
  </si>
  <si>
    <r>
      <t xml:space="preserve">In addition to submitting the 2016 report, each qualifying utility should review the renewable energy report it submitted in 2014. In many cases, the specific resources and quantities actually used to comply with the 2014 target differ from what the utility reported in June 2014. </t>
    </r>
    <r>
      <rPr>
        <u/>
        <sz val="11"/>
        <color theme="1"/>
        <rFont val="Arial"/>
        <family val="2"/>
      </rPr>
      <t>Utilities should submit a revised 2014 report if the actual values differ from the values reported in 2014.</t>
    </r>
    <r>
      <rPr>
        <sz val="11"/>
        <color theme="1"/>
        <rFont val="Arial"/>
        <family val="2"/>
      </rPr>
      <t xml:space="preserve"> </t>
    </r>
  </si>
  <si>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t>
    </r>
  </si>
  <si>
    <t xml:space="preserve">Please use the 2014 template and mark it as "revised." Contact Commerce to obtain a copy of the 2014 reporting template if necessary. </t>
  </si>
  <si>
    <r>
      <rPr>
        <sz val="12"/>
        <color theme="1"/>
        <rFont val="Arial"/>
        <family val="2"/>
      </rPr>
      <t xml:space="preserve">Energy Independence Act (I-937) </t>
    </r>
    <r>
      <rPr>
        <sz val="12"/>
        <color theme="1"/>
        <rFont val="Arial Black"/>
        <family val="2"/>
      </rPr>
      <t>Conservation Report 2016</t>
    </r>
  </si>
  <si>
    <t>2016 - 2017 Planning</t>
  </si>
  <si>
    <t>2015 Achievement</t>
  </si>
  <si>
    <t>2014-2015</t>
  </si>
  <si>
    <t>Biennial</t>
  </si>
  <si>
    <t>2016-2017</t>
  </si>
  <si>
    <t>2016-2025 Ten Year Potential (MWh)</t>
  </si>
  <si>
    <t>2016 - 2017 Target (MWh)</t>
  </si>
  <si>
    <t>Summary of Achievement and Targets (MWh)</t>
  </si>
  <si>
    <t xml:space="preserve">Target </t>
  </si>
  <si>
    <t>Target</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</si>
  <si>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2016</t>
    </r>
  </si>
  <si>
    <t>2016 Compliance Method:</t>
  </si>
  <si>
    <r>
      <t xml:space="preserve">REC Vintage </t>
    </r>
    <r>
      <rPr>
        <sz val="10"/>
        <rFont val="Arial"/>
        <family val="2"/>
      </rPr>
      <t>(Year)</t>
    </r>
  </si>
  <si>
    <t>RECs</t>
  </si>
  <si>
    <t>Total Renewables (MWh+RECs)</t>
  </si>
  <si>
    <t>2015 Annual Load (MWh)</t>
  </si>
  <si>
    <t>2016 Renewable Target (% of load)</t>
  </si>
  <si>
    <t>Eligible Renewable Resources and RECs</t>
  </si>
  <si>
    <t>Incremental Cost of Renewable Resource in 2016</t>
  </si>
  <si>
    <t>Substitute Resource Annual Cost in 2016</t>
  </si>
  <si>
    <t>Renewable Resource Annual Cost in 2016</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</si>
  <si>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2016</t>
    </r>
  </si>
  <si>
    <t>Expenditures on Renewable Resources and RECs - 2016</t>
  </si>
  <si>
    <t>Total annual retail revenue requirement - 2016</t>
  </si>
  <si>
    <t>2016 Eligible Renewable Energy Target (MWh)</t>
  </si>
  <si>
    <t>CON_2015_Commercial_MWH</t>
  </si>
  <si>
    <t>CON_2015_Industrial_MWH</t>
  </si>
  <si>
    <t>CON_2015_Residential_MWH</t>
  </si>
  <si>
    <t>CON_Potential_2015_2023</t>
  </si>
  <si>
    <t>CON_Potential_2016_2025</t>
  </si>
  <si>
    <t>CON_Target_2016_2017</t>
  </si>
  <si>
    <t>REN_Expenditure_Amount_2016</t>
  </si>
  <si>
    <t>REN_Expenditure_Percent_2016</t>
  </si>
  <si>
    <t>REN_Load_2015</t>
  </si>
  <si>
    <t>REN_RetailRevenueRequirement_2016</t>
  </si>
  <si>
    <t>REN_Total_2016</t>
  </si>
  <si>
    <t>CON_2015_Commercial_Expend</t>
  </si>
  <si>
    <t>CON_2015_OtherSector1_Expend</t>
  </si>
  <si>
    <t>CON_2015_OtherSector1_MWH</t>
  </si>
  <si>
    <t>CON_2015_OtherSector2_Expend</t>
  </si>
  <si>
    <t>CON_2015_OtherSector2_MWH</t>
  </si>
  <si>
    <t>CON_2015_Production_Expend</t>
  </si>
  <si>
    <t>CON_2015_Production_MWH</t>
  </si>
  <si>
    <t>CON_2015_Program1_Expend</t>
  </si>
  <si>
    <t>CON_2015_Program2_Expend</t>
  </si>
  <si>
    <t>CON_2015_Agriculture_Expend</t>
  </si>
  <si>
    <t>CON_2015_Agriculture_MWH</t>
  </si>
  <si>
    <t>CON_2015_Distribution_Expend</t>
  </si>
  <si>
    <t>CON_2015_Distribution_MWH</t>
  </si>
  <si>
    <t>CON_2015_Expenditures</t>
  </si>
  <si>
    <t>CON_2015_Industrial_Expend</t>
  </si>
  <si>
    <t>CON_2015_MWH</t>
  </si>
  <si>
    <t>CON_2015_NEEA_Expend</t>
  </si>
  <si>
    <t>CON_2015_NEEA_MWH</t>
  </si>
  <si>
    <t>CON_2015_Residential_Expend</t>
  </si>
  <si>
    <t>Biodiesel</t>
  </si>
  <si>
    <t>Solar</t>
  </si>
  <si>
    <t>Geothermal</t>
  </si>
  <si>
    <t>Resource Type</t>
  </si>
  <si>
    <t>Biomass</t>
  </si>
  <si>
    <t>Qualified Biomass</t>
  </si>
  <si>
    <t>Apprentice Labor Eligibility</t>
  </si>
  <si>
    <t>No</t>
  </si>
  <si>
    <t>Apprentice Labor Amount</t>
  </si>
  <si>
    <t>Distributed Generation Eligibility</t>
  </si>
  <si>
    <t>Distributed Generation Amount</t>
  </si>
  <si>
    <t>Quantity</t>
  </si>
  <si>
    <t>Explanatory Notes (as needed)</t>
  </si>
  <si>
    <t>Apprentice Labor Credit</t>
  </si>
  <si>
    <t>Distributed Generation Credit</t>
  </si>
  <si>
    <t>REC_REC_QBE</t>
  </si>
  <si>
    <t>REN_ERR_QBE</t>
  </si>
  <si>
    <r>
      <t xml:space="preserve">Apprentice Labor Amount </t>
    </r>
    <r>
      <rPr>
        <sz val="9"/>
        <color theme="1"/>
        <rFont val="Arial"/>
        <family val="2"/>
      </rPr>
      <t>(MWh equiv.)</t>
    </r>
  </si>
  <si>
    <r>
      <t xml:space="preserve">Generation Amount </t>
    </r>
    <r>
      <rPr>
        <sz val="9"/>
        <color theme="1"/>
        <rFont val="Arial"/>
        <family val="2"/>
      </rPr>
      <t>(MWh)</t>
    </r>
  </si>
  <si>
    <t>Notes, including a brief description of the methodology used to establish the utility's ten-year potential and biennial target to capture cost-effective conservation:</t>
  </si>
  <si>
    <t>Enter information in green-shaded fields.</t>
  </si>
  <si>
    <t>Do not modify blue-shaded fields.</t>
  </si>
  <si>
    <r>
      <t xml:space="preserve">Energy Independence Act (I-937) </t>
    </r>
    <r>
      <rPr>
        <sz val="11"/>
        <color rgb="FF000000"/>
        <rFont val="Arial Black"/>
        <family val="2"/>
      </rPr>
      <t>Report Workbook</t>
    </r>
  </si>
  <si>
    <t>Surplus (Deficit)</t>
  </si>
  <si>
    <t>Utility Name</t>
  </si>
  <si>
    <r>
      <t>Questions:</t>
    </r>
    <r>
      <rPr>
        <sz val="11"/>
        <color rgb="FF000000"/>
        <rFont val="Arial"/>
        <family val="2"/>
      </rPr>
      <t xml:space="preserve"> Glenn Blackmon, State Energy Office, (360) 725-3115, </t>
    </r>
    <r>
      <rPr>
        <b/>
        <sz val="11"/>
        <color theme="3"/>
        <rFont val="Arial"/>
        <family val="2"/>
      </rPr>
      <t>glenn.blackmon@commerce.wa.gov</t>
    </r>
  </si>
  <si>
    <t>Public Utility District No. 1 of Benton County</t>
  </si>
  <si>
    <t>James Dykes / Power Management</t>
  </si>
  <si>
    <t>509-582-1267</t>
  </si>
  <si>
    <t>dykesj@bentonpud.org</t>
  </si>
  <si>
    <t>Condon Wind Power Project - Condon Phase II</t>
  </si>
  <si>
    <t>Condon Wind Power Project - Condon Wind Power Project</t>
  </si>
  <si>
    <t>Stateline (WA) - FPL Energy Vansycle LLC</t>
  </si>
  <si>
    <t>Klondike III - Klondike Wind Power III LLC</t>
  </si>
  <si>
    <t>Klondike I - Klondike Wind Power LLC</t>
  </si>
  <si>
    <t>Nine Canyon Wind Project - Nine Canyon Phase 3</t>
  </si>
  <si>
    <t>Nine Canyon Wind Project - Nine Canyon Wind Project</t>
  </si>
  <si>
    <t>Payne's Ferry Wind Park - Payne's Ferry Wind Park</t>
  </si>
  <si>
    <t>White Creek Wind 1 - White Creek</t>
  </si>
  <si>
    <t>W833</t>
  </si>
  <si>
    <t>W774</t>
  </si>
  <si>
    <t>W248</t>
  </si>
  <si>
    <t>W237</t>
  </si>
  <si>
    <t>W238</t>
  </si>
  <si>
    <t>W697</t>
  </si>
  <si>
    <t>W684</t>
  </si>
  <si>
    <t>W1866</t>
  </si>
  <si>
    <t>W360</t>
  </si>
  <si>
    <t>LRI LFGTE Facility - Phase 1 - LRI LFGTE Facility - Phase 1</t>
  </si>
  <si>
    <t>W3845</t>
  </si>
  <si>
    <t>Will retire once deposited into WREGIS account</t>
  </si>
  <si>
    <t>Yes</t>
  </si>
  <si>
    <t>Will retire 2016 RECs when deposited into WREGIS account</t>
  </si>
  <si>
    <r>
      <t xml:space="preserve"> NEEA</t>
    </r>
    <r>
      <rPr>
        <vertAlign val="superscript"/>
        <sz val="10"/>
        <color rgb="FFFF0000"/>
        <rFont val="Arial"/>
        <family val="2"/>
      </rPr>
      <t>(1)</t>
    </r>
  </si>
  <si>
    <t>Average of 2014 &amp; 2015 Annual Loads (MWh)</t>
  </si>
  <si>
    <t>BPA</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</si>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</sst>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409]mmmm\ d\,\ yyyy;@"/>
    <numFmt numFmtId="168" formatCode="&quot;$&quot;#,##0"/>
  </numFmts>
  <fonts count="31" x14ac:knownFonts="1">
    <font>
      <sz val="11"/>
      <color theme="1"/>
      <name val="Calibri"/>
      <family val="2"/>
      <scheme val="minor"/>
    </font>
    <font>
      <sz val="10"/>
      <name val="Arial"/>
      <family val="2"/>
    </font>
    <font>
      <b/>
      <sz val="10"/>
      <name val="Arial"/>
      <family val="2"/>
    </font>
    <font>
      <sz val="12"/>
      <color indexed="8"/>
      <name val="Arial Black"/>
      <family val="2"/>
    </font>
    <font>
      <sz val="12"/>
      <color indexed="8"/>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b/>
      <sz val="11"/>
      <color rgb="FF000000"/>
      <name val="Arial"/>
      <family val="2"/>
    </font>
    <font>
      <b/>
      <sz val="11"/>
      <color rgb="FF993300"/>
      <name val="Arial"/>
      <family val="2"/>
    </font>
    <font>
      <b/>
      <sz val="11"/>
      <color theme="1"/>
      <name val="Arial"/>
      <family val="2"/>
    </font>
    <font>
      <b/>
      <sz val="12"/>
      <color theme="1"/>
      <name val="Arial"/>
      <family val="2"/>
    </font>
    <font>
      <sz val="9"/>
      <color indexed="81"/>
      <name val="Tahoma"/>
      <family val="2"/>
    </font>
    <font>
      <b/>
      <sz val="9"/>
      <color indexed="81"/>
      <name val="Tahoma"/>
      <family val="2"/>
    </font>
    <font>
      <b/>
      <sz val="14"/>
      <color theme="1"/>
      <name val="Arial"/>
      <family val="2"/>
    </font>
    <font>
      <b/>
      <sz val="11"/>
      <color theme="3"/>
      <name val="Arial"/>
      <family val="2"/>
    </font>
    <font>
      <vertAlign val="superscript"/>
      <sz val="10"/>
      <color rgb="FFFF0000"/>
      <name val="Arial"/>
      <family val="2"/>
    </font>
  </fonts>
  <fills count="9">
    <fill>
      <patternFill patternType="none"/>
    </fill>
    <fill>
      <patternFill patternType="gray125"/>
    </fill>
    <fill>
      <patternFill patternType="solid">
        <fgColor theme="0"/>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s>
  <borders count="57">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0" fontId="7" fillId="0" borderId="0" applyNumberFormat="0" applyFill="0" applyBorder="0" applyAlignment="0" applyProtection="0">
      <alignment vertical="top"/>
      <protection locked="0"/>
    </xf>
    <xf numFmtId="9" fontId="6" fillId="0" borderId="0" applyFont="0" applyFill="0" applyBorder="0" applyAlignment="0" applyProtection="0"/>
  </cellStyleXfs>
  <cellXfs count="298">
    <xf numFmtId="0" fontId="0" fillId="0" borderId="0" xfId="0"/>
    <xf numFmtId="0" fontId="8" fillId="2" borderId="0" xfId="0" applyFont="1" applyFill="1"/>
    <xf numFmtId="0" fontId="9" fillId="2" borderId="0" xfId="0" applyFont="1" applyFill="1" applyBorder="1" applyAlignment="1"/>
    <xf numFmtId="0" fontId="9" fillId="2" borderId="0" xfId="0" applyFont="1" applyFill="1" applyBorder="1" applyAlignment="1">
      <alignment horizontal="right"/>
    </xf>
    <xf numFmtId="0" fontId="8" fillId="2" borderId="0" xfId="0" applyFont="1" applyFill="1" applyBorder="1" applyAlignment="1">
      <alignment horizontal="right"/>
    </xf>
    <xf numFmtId="0" fontId="8" fillId="2" borderId="0" xfId="0" applyFont="1" applyFill="1" applyAlignment="1">
      <alignment horizontal="right"/>
    </xf>
    <xf numFmtId="0" fontId="9" fillId="2" borderId="0" xfId="0" applyFont="1" applyFill="1" applyBorder="1" applyAlignment="1">
      <alignment horizontal="left"/>
    </xf>
    <xf numFmtId="0" fontId="8" fillId="2" borderId="0" xfId="0" applyFont="1" applyFill="1" applyBorder="1"/>
    <xf numFmtId="0" fontId="8" fillId="2" borderId="0" xfId="0" applyFont="1" applyFill="1" applyBorder="1" applyAlignment="1">
      <alignment horizontal="center"/>
    </xf>
    <xf numFmtId="0" fontId="9" fillId="2" borderId="0" xfId="0" applyFont="1" applyFill="1" applyAlignment="1">
      <alignment horizontal="right"/>
    </xf>
    <xf numFmtId="0" fontId="9" fillId="2" borderId="0" xfId="0" applyFont="1" applyFill="1"/>
    <xf numFmtId="0" fontId="8" fillId="2" borderId="0" xfId="0" applyFont="1" applyFill="1" applyAlignment="1"/>
    <xf numFmtId="0" fontId="11" fillId="2" borderId="0" xfId="0" applyFont="1" applyFill="1" applyAlignment="1">
      <alignment horizontal="center" vertical="center"/>
    </xf>
    <xf numFmtId="0" fontId="8" fillId="2" borderId="7" xfId="0" applyFont="1" applyFill="1" applyBorder="1"/>
    <xf numFmtId="0" fontId="12" fillId="2" borderId="0" xfId="0" applyFont="1" applyFill="1" applyBorder="1" applyAlignment="1">
      <alignment horizontal="center" vertical="center" wrapText="1"/>
    </xf>
    <xf numFmtId="0" fontId="1" fillId="2" borderId="11" xfId="0" applyFont="1" applyFill="1" applyBorder="1" applyAlignment="1" applyProtection="1">
      <alignment horizontal="right"/>
    </xf>
    <xf numFmtId="166" fontId="8" fillId="2" borderId="0" xfId="2" applyNumberFormat="1" applyFont="1" applyFill="1" applyBorder="1" applyAlignment="1">
      <alignment horizontal="right"/>
    </xf>
    <xf numFmtId="166" fontId="8" fillId="2" borderId="0" xfId="0" applyNumberFormat="1" applyFont="1" applyFill="1" applyBorder="1"/>
    <xf numFmtId="0" fontId="8" fillId="2" borderId="0" xfId="0" applyFont="1" applyFill="1" applyBorder="1" applyAlignment="1">
      <alignment horizontal="left"/>
    </xf>
    <xf numFmtId="0" fontId="13" fillId="2" borderId="26" xfId="0" applyFont="1" applyFill="1" applyBorder="1" applyAlignment="1">
      <alignment horizontal="right"/>
    </xf>
    <xf numFmtId="0" fontId="13" fillId="2" borderId="27" xfId="0" applyFont="1" applyFill="1" applyBorder="1" applyAlignment="1">
      <alignment horizontal="right"/>
    </xf>
    <xf numFmtId="0" fontId="13" fillId="2" borderId="0" xfId="0" applyFont="1" applyFill="1" applyAlignment="1">
      <alignment horizontal="right"/>
    </xf>
    <xf numFmtId="0" fontId="14" fillId="2" borderId="0" xfId="0" applyFont="1" applyFill="1"/>
    <xf numFmtId="0" fontId="14" fillId="2" borderId="0" xfId="0" applyFont="1" applyFill="1" applyBorder="1" applyAlignment="1"/>
    <xf numFmtId="0" fontId="13" fillId="2" borderId="0" xfId="0" applyFont="1" applyFill="1" applyBorder="1"/>
    <xf numFmtId="0" fontId="13" fillId="2" borderId="0" xfId="0" applyFont="1" applyFill="1"/>
    <xf numFmtId="0" fontId="5" fillId="2" borderId="0" xfId="0" applyNumberFormat="1" applyFont="1" applyFill="1" applyBorder="1" applyAlignment="1"/>
    <xf numFmtId="0" fontId="2" fillId="2" borderId="0" xfId="0" applyFont="1" applyFill="1" applyAlignment="1">
      <alignment horizontal="center"/>
    </xf>
    <xf numFmtId="0" fontId="1" fillId="2" borderId="0" xfId="0" applyFont="1" applyFill="1" applyBorder="1" applyAlignment="1">
      <alignment horizontal="right"/>
    </xf>
    <xf numFmtId="0" fontId="8" fillId="2" borderId="30" xfId="0" applyFont="1" applyFill="1" applyBorder="1"/>
    <xf numFmtId="0" fontId="8" fillId="2" borderId="35" xfId="0" applyFont="1" applyFill="1" applyBorder="1"/>
    <xf numFmtId="0" fontId="8" fillId="2" borderId="29" xfId="0" applyFont="1" applyFill="1" applyBorder="1"/>
    <xf numFmtId="0" fontId="1" fillId="2" borderId="29" xfId="0" applyFont="1" applyFill="1" applyBorder="1" applyAlignment="1">
      <alignment horizontal="right"/>
    </xf>
    <xf numFmtId="0" fontId="8" fillId="2" borderId="30" xfId="0" applyFont="1" applyFill="1" applyBorder="1" applyAlignment="1"/>
    <xf numFmtId="0" fontId="18" fillId="2" borderId="0" xfId="0" applyFont="1" applyFill="1" applyBorder="1" applyAlignment="1">
      <alignment vertical="top" wrapText="1"/>
    </xf>
    <xf numFmtId="0" fontId="18" fillId="2" borderId="29" xfId="0" applyFont="1" applyFill="1" applyBorder="1" applyAlignment="1">
      <alignment vertical="top" wrapText="1"/>
    </xf>
    <xf numFmtId="0" fontId="14" fillId="2" borderId="0" xfId="0" applyFont="1" applyFill="1" applyBorder="1"/>
    <xf numFmtId="0" fontId="18" fillId="2" borderId="35" xfId="0" applyFont="1" applyFill="1" applyBorder="1" applyAlignment="1">
      <alignment vertical="top"/>
    </xf>
    <xf numFmtId="0" fontId="19" fillId="0" borderId="37" xfId="0" applyFont="1" applyBorder="1" applyAlignment="1">
      <alignment vertical="center" wrapText="1"/>
    </xf>
    <xf numFmtId="0" fontId="19" fillId="0" borderId="38" xfId="0" applyFont="1" applyBorder="1" applyAlignment="1">
      <alignment vertical="center" wrapText="1"/>
    </xf>
    <xf numFmtId="0" fontId="13" fillId="0" borderId="38" xfId="0" applyFont="1" applyBorder="1" applyAlignment="1">
      <alignment vertical="center" wrapText="1"/>
    </xf>
    <xf numFmtId="0" fontId="13" fillId="0" borderId="39" xfId="0" applyFont="1" applyBorder="1" applyAlignment="1">
      <alignment vertical="center" wrapText="1"/>
    </xf>
    <xf numFmtId="0" fontId="9" fillId="2" borderId="0" xfId="0" applyFont="1" applyFill="1" applyBorder="1" applyAlignment="1">
      <alignment horizontal="center"/>
    </xf>
    <xf numFmtId="0" fontId="0" fillId="0" borderId="0" xfId="0" applyNumberFormat="1"/>
    <xf numFmtId="168" fontId="8" fillId="6" borderId="11" xfId="0" applyNumberFormat="1" applyFont="1" applyFill="1" applyBorder="1" applyAlignment="1"/>
    <xf numFmtId="0" fontId="8" fillId="2" borderId="0" xfId="0" applyFont="1" applyFill="1" applyBorder="1" applyAlignment="1"/>
    <xf numFmtId="0" fontId="12" fillId="2" borderId="7" xfId="0" applyFont="1" applyFill="1" applyBorder="1" applyAlignment="1">
      <alignment horizontal="center" wrapText="1"/>
    </xf>
    <xf numFmtId="0" fontId="11" fillId="2" borderId="29" xfId="0" applyFont="1" applyFill="1" applyBorder="1" applyAlignment="1">
      <alignment horizontal="center" vertical="center"/>
    </xf>
    <xf numFmtId="165" fontId="8" fillId="6" borderId="1" xfId="1" applyNumberFormat="1" applyFont="1" applyFill="1" applyBorder="1"/>
    <xf numFmtId="165" fontId="8" fillId="6" borderId="2" xfId="1" applyNumberFormat="1" applyFont="1" applyFill="1" applyBorder="1"/>
    <xf numFmtId="165" fontId="8" fillId="6" borderId="3" xfId="1" applyNumberFormat="1" applyFont="1" applyFill="1" applyBorder="1"/>
    <xf numFmtId="0" fontId="12" fillId="2" borderId="50"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51" xfId="0" applyFont="1" applyFill="1" applyBorder="1" applyAlignment="1">
      <alignment horizontal="center" vertical="center" wrapText="1"/>
    </xf>
    <xf numFmtId="165" fontId="8" fillId="6" borderId="20" xfId="1" applyNumberFormat="1" applyFont="1" applyFill="1" applyBorder="1"/>
    <xf numFmtId="164" fontId="8" fillId="3" borderId="33" xfId="0" applyNumberFormat="1" applyFont="1" applyFill="1" applyBorder="1" applyAlignment="1">
      <alignment horizontal="center"/>
    </xf>
    <xf numFmtId="164" fontId="8" fillId="3" borderId="52" xfId="0" applyNumberFormat="1" applyFont="1" applyFill="1" applyBorder="1" applyAlignment="1">
      <alignment horizontal="center"/>
    </xf>
    <xf numFmtId="165" fontId="8" fillId="6" borderId="46" xfId="1" applyNumberFormat="1" applyFont="1" applyFill="1" applyBorder="1"/>
    <xf numFmtId="165" fontId="8" fillId="6" borderId="50" xfId="1" applyNumberFormat="1" applyFont="1" applyFill="1" applyBorder="1"/>
    <xf numFmtId="0" fontId="12" fillId="2" borderId="8" xfId="0" applyFont="1" applyFill="1" applyBorder="1" applyAlignment="1">
      <alignment horizontal="center" vertical="center" wrapText="1"/>
    </xf>
    <xf numFmtId="165" fontId="8" fillId="6" borderId="16" xfId="1" applyNumberFormat="1" applyFont="1" applyFill="1" applyBorder="1"/>
    <xf numFmtId="165" fontId="8" fillId="6" borderId="17" xfId="1" applyNumberFormat="1" applyFont="1" applyFill="1" applyBorder="1"/>
    <xf numFmtId="165" fontId="8" fillId="6" borderId="23" xfId="1" applyNumberFormat="1" applyFont="1" applyFill="1" applyBorder="1"/>
    <xf numFmtId="0" fontId="2" fillId="2" borderId="29" xfId="0" applyFont="1" applyFill="1" applyBorder="1" applyAlignment="1"/>
    <xf numFmtId="0" fontId="12" fillId="2" borderId="7" xfId="0" applyFont="1" applyFill="1" applyBorder="1" applyAlignment="1">
      <alignment wrapText="1"/>
    </xf>
    <xf numFmtId="165" fontId="8" fillId="6" borderId="21" xfId="1" applyNumberFormat="1" applyFont="1" applyFill="1" applyBorder="1" applyAlignment="1">
      <alignment horizontal="right"/>
    </xf>
    <xf numFmtId="165" fontId="8" fillId="6" borderId="2" xfId="1" applyNumberFormat="1" applyFont="1" applyFill="1" applyBorder="1" applyAlignment="1">
      <alignment horizontal="right"/>
    </xf>
    <xf numFmtId="0" fontId="22" fillId="5" borderId="0" xfId="0" applyFont="1" applyFill="1" applyBorder="1" applyAlignment="1">
      <alignment vertical="center" wrapText="1"/>
    </xf>
    <xf numFmtId="0" fontId="21" fillId="5" borderId="0" xfId="0" applyFont="1" applyFill="1" applyBorder="1" applyAlignment="1">
      <alignment vertical="center"/>
    </xf>
    <xf numFmtId="167" fontId="21" fillId="5" borderId="0" xfId="0" applyNumberFormat="1" applyFont="1" applyFill="1" applyBorder="1" applyAlignment="1">
      <alignment horizontal="left" vertical="center"/>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0" fontId="12" fillId="2" borderId="0" xfId="0" applyFont="1" applyFill="1" applyBorder="1" applyAlignment="1">
      <alignment horizontal="center" wrapText="1"/>
    </xf>
    <xf numFmtId="0" fontId="1" fillId="2" borderId="0" xfId="0" applyFont="1" applyFill="1" applyBorder="1" applyAlignment="1">
      <alignment horizontal="right" wrapText="1"/>
    </xf>
    <xf numFmtId="0" fontId="8" fillId="2" borderId="0" xfId="0" applyFont="1" applyFill="1" applyProtection="1">
      <protection locked="0"/>
    </xf>
    <xf numFmtId="0" fontId="8" fillId="2" borderId="0" xfId="0" applyFont="1" applyFill="1" applyBorder="1" applyProtection="1">
      <protection locked="0"/>
    </xf>
    <xf numFmtId="165" fontId="8" fillId="7" borderId="2" xfId="1" applyNumberFormat="1" applyFont="1" applyFill="1" applyBorder="1" applyAlignment="1" applyProtection="1">
      <alignment horizontal="right"/>
      <protection locked="0"/>
    </xf>
    <xf numFmtId="165" fontId="8" fillId="7" borderId="17" xfId="1" applyNumberFormat="1" applyFont="1" applyFill="1" applyBorder="1" applyAlignment="1" applyProtection="1">
      <alignment horizontal="right"/>
      <protection locked="0"/>
    </xf>
    <xf numFmtId="165" fontId="8" fillId="7" borderId="6" xfId="1" applyNumberFormat="1" applyFont="1" applyFill="1" applyBorder="1" applyAlignment="1" applyProtection="1">
      <alignment horizontal="center"/>
      <protection locked="0"/>
    </xf>
    <xf numFmtId="168" fontId="8" fillId="7" borderId="21" xfId="1" applyNumberFormat="1" applyFont="1" applyFill="1" applyBorder="1" applyAlignment="1" applyProtection="1">
      <alignment horizontal="right"/>
      <protection locked="0"/>
    </xf>
    <xf numFmtId="165" fontId="8" fillId="7" borderId="6" xfId="0" applyNumberFormat="1" applyFont="1" applyFill="1" applyBorder="1" applyAlignment="1" applyProtection="1">
      <alignment horizontal="center"/>
      <protection locked="0"/>
    </xf>
    <xf numFmtId="0" fontId="9" fillId="7" borderId="11" xfId="0" applyFont="1" applyFill="1" applyBorder="1" applyProtection="1">
      <protection locked="0"/>
    </xf>
    <xf numFmtId="0" fontId="9" fillId="7" borderId="11" xfId="0" applyFont="1" applyFill="1" applyBorder="1" applyAlignment="1" applyProtection="1">
      <alignment vertical="center" wrapText="1"/>
      <protection locked="0"/>
    </xf>
    <xf numFmtId="0" fontId="9" fillId="2" borderId="0" xfId="0" applyFont="1" applyFill="1" applyAlignment="1" applyProtection="1">
      <alignment horizontal="right"/>
      <protection locked="0"/>
    </xf>
    <xf numFmtId="0" fontId="9" fillId="2" borderId="0" xfId="0" applyFont="1" applyFill="1" applyBorder="1" applyAlignment="1" applyProtection="1">
      <alignment horizontal="center"/>
      <protection locked="0"/>
    </xf>
    <xf numFmtId="0" fontId="8" fillId="2" borderId="0" xfId="0" applyFont="1" applyFill="1" applyProtection="1"/>
    <xf numFmtId="0" fontId="16" fillId="2" borderId="0" xfId="0" applyFont="1" applyFill="1" applyBorder="1" applyAlignment="1" applyProtection="1"/>
    <xf numFmtId="0" fontId="8" fillId="2" borderId="0" xfId="0" applyFont="1" applyFill="1" applyBorder="1" applyProtection="1"/>
    <xf numFmtId="0" fontId="9" fillId="2" borderId="0" xfId="0" applyFont="1" applyFill="1" applyBorder="1" applyAlignment="1" applyProtection="1"/>
    <xf numFmtId="0" fontId="9" fillId="2" borderId="0" xfId="0" applyFont="1" applyFill="1" applyBorder="1" applyAlignment="1" applyProtection="1">
      <alignment horizontal="right"/>
    </xf>
    <xf numFmtId="0" fontId="8" fillId="2" borderId="0" xfId="0" applyNumberFormat="1" applyFont="1" applyFill="1" applyProtection="1"/>
    <xf numFmtId="0" fontId="8" fillId="2" borderId="0" xfId="0" applyFont="1" applyFill="1" applyBorder="1" applyAlignment="1" applyProtection="1">
      <alignment horizontal="right"/>
    </xf>
    <xf numFmtId="0" fontId="10" fillId="2" borderId="0" xfId="0" applyFont="1" applyFill="1" applyBorder="1" applyProtection="1"/>
    <xf numFmtId="0" fontId="2" fillId="2" borderId="42" xfId="0" applyFont="1" applyFill="1" applyBorder="1" applyAlignment="1" applyProtection="1">
      <alignment horizontal="center"/>
    </xf>
    <xf numFmtId="0" fontId="8" fillId="0" borderId="42" xfId="0" applyFont="1" applyBorder="1" applyAlignment="1" applyProtection="1"/>
    <xf numFmtId="0" fontId="8" fillId="2" borderId="0" xfId="0" applyFont="1" applyFill="1" applyAlignment="1" applyProtection="1">
      <alignment horizontal="right"/>
    </xf>
    <xf numFmtId="0" fontId="9" fillId="2" borderId="0" xfId="0" applyFont="1" applyFill="1" applyAlignment="1" applyProtection="1">
      <alignment horizontal="center"/>
    </xf>
    <xf numFmtId="0" fontId="1" fillId="2" borderId="0" xfId="0" applyFont="1" applyFill="1" applyAlignment="1" applyProtection="1">
      <alignment horizontal="right"/>
    </xf>
    <xf numFmtId="165" fontId="8" fillId="6" borderId="19" xfId="1" applyNumberFormat="1" applyFont="1" applyFill="1" applyBorder="1" applyProtection="1"/>
    <xf numFmtId="165" fontId="8" fillId="6" borderId="43" xfId="0" applyNumberFormat="1" applyFont="1" applyFill="1" applyBorder="1" applyProtection="1"/>
    <xf numFmtId="165" fontId="8" fillId="6" borderId="13" xfId="1" applyNumberFormat="1" applyFont="1" applyFill="1" applyBorder="1" applyProtection="1"/>
    <xf numFmtId="0" fontId="8" fillId="2" borderId="0" xfId="0" applyFont="1" applyFill="1" applyAlignment="1" applyProtection="1">
      <alignment horizontal="left"/>
    </xf>
    <xf numFmtId="165" fontId="8" fillId="6" borderId="44" xfId="1" applyNumberFormat="1" applyFont="1" applyFill="1" applyBorder="1" applyProtection="1"/>
    <xf numFmtId="0" fontId="8" fillId="2" borderId="0" xfId="0" applyFont="1" applyFill="1" applyBorder="1" applyAlignment="1" applyProtection="1"/>
    <xf numFmtId="0" fontId="9" fillId="2" borderId="25" xfId="0" applyFont="1" applyFill="1" applyBorder="1" applyAlignment="1" applyProtection="1">
      <alignment horizontal="center" wrapText="1"/>
    </xf>
    <xf numFmtId="0" fontId="9" fillId="2" borderId="36" xfId="0" applyFont="1" applyFill="1" applyBorder="1" applyAlignment="1" applyProtection="1">
      <alignment horizontal="center" wrapText="1"/>
    </xf>
    <xf numFmtId="0" fontId="8" fillId="2" borderId="5" xfId="0" applyFont="1" applyFill="1" applyBorder="1" applyProtection="1"/>
    <xf numFmtId="0" fontId="9" fillId="2" borderId="6" xfId="0" applyFont="1" applyFill="1" applyBorder="1" applyAlignment="1" applyProtection="1">
      <alignment horizontal="right"/>
    </xf>
    <xf numFmtId="0" fontId="9" fillId="2" borderId="4" xfId="0" applyFont="1" applyFill="1" applyBorder="1" applyAlignment="1" applyProtection="1">
      <alignment horizontal="center" wrapText="1"/>
    </xf>
    <xf numFmtId="0" fontId="8" fillId="2" borderId="11" xfId="0" applyFont="1" applyFill="1" applyBorder="1" applyAlignment="1" applyProtection="1">
      <alignment horizontal="right"/>
    </xf>
    <xf numFmtId="168" fontId="8" fillId="2" borderId="0" xfId="0" applyNumberFormat="1" applyFont="1" applyFill="1" applyAlignment="1" applyProtection="1">
      <alignment horizontal="right"/>
    </xf>
    <xf numFmtId="164" fontId="8" fillId="4" borderId="24" xfId="0" applyNumberFormat="1" applyFont="1" applyFill="1" applyBorder="1" applyAlignment="1" applyProtection="1">
      <alignment horizontal="center"/>
    </xf>
    <xf numFmtId="164" fontId="8" fillId="4" borderId="25" xfId="0" applyNumberFormat="1" applyFont="1" applyFill="1" applyBorder="1" applyAlignment="1" applyProtection="1">
      <alignment horizontal="center"/>
    </xf>
    <xf numFmtId="0" fontId="9" fillId="2" borderId="12" xfId="0" applyFont="1" applyFill="1" applyBorder="1" applyProtection="1"/>
    <xf numFmtId="165" fontId="9" fillId="6" borderId="10" xfId="0" applyNumberFormat="1" applyFont="1" applyFill="1" applyBorder="1" applyAlignment="1" applyProtection="1">
      <alignment horizontal="center"/>
    </xf>
    <xf numFmtId="168" fontId="9" fillId="6" borderId="2" xfId="1" applyNumberFormat="1" applyFont="1" applyFill="1" applyBorder="1" applyAlignment="1" applyProtection="1">
      <alignment horizontal="right"/>
    </xf>
    <xf numFmtId="0" fontId="9" fillId="2" borderId="0" xfId="0" applyFont="1" applyFill="1" applyBorder="1" applyProtection="1"/>
    <xf numFmtId="165" fontId="9" fillId="2" borderId="0" xfId="0" applyNumberFormat="1" applyFont="1" applyFill="1" applyBorder="1" applyAlignment="1" applyProtection="1">
      <alignment horizontal="center"/>
    </xf>
    <xf numFmtId="165" fontId="9" fillId="2" borderId="0" xfId="1" applyNumberFormat="1" applyFont="1" applyFill="1" applyBorder="1" applyAlignment="1" applyProtection="1">
      <alignment horizontal="center"/>
    </xf>
    <xf numFmtId="0" fontId="9" fillId="2" borderId="0" xfId="0" applyFont="1" applyFill="1" applyAlignment="1" applyProtection="1">
      <alignment horizontal="right"/>
    </xf>
    <xf numFmtId="0" fontId="9" fillId="2" borderId="0" xfId="0" applyFont="1" applyFill="1" applyBorder="1" applyAlignment="1" applyProtection="1">
      <alignment horizontal="center"/>
    </xf>
    <xf numFmtId="168" fontId="8" fillId="7" borderId="11" xfId="0" applyNumberFormat="1" applyFont="1" applyFill="1" applyBorder="1" applyAlignment="1" applyProtection="1">
      <protection locked="0"/>
    </xf>
    <xf numFmtId="0" fontId="1" fillId="7" borderId="31" xfId="0" applyFont="1" applyFill="1" applyBorder="1" applyAlignment="1" applyProtection="1">
      <alignment horizontal="left"/>
      <protection locked="0"/>
    </xf>
    <xf numFmtId="165" fontId="8" fillId="7" borderId="1" xfId="1" applyNumberFormat="1" applyFont="1" applyFill="1" applyBorder="1" applyProtection="1">
      <protection locked="0"/>
    </xf>
    <xf numFmtId="0" fontId="1" fillId="7" borderId="11" xfId="0" applyFont="1" applyFill="1" applyBorder="1" applyAlignment="1" applyProtection="1">
      <alignment horizontal="left"/>
      <protection locked="0"/>
    </xf>
    <xf numFmtId="165" fontId="8" fillId="7" borderId="21" xfId="1" applyNumberFormat="1" applyFont="1" applyFill="1" applyBorder="1" applyAlignment="1" applyProtection="1">
      <alignment horizontal="right"/>
      <protection locked="0"/>
    </xf>
    <xf numFmtId="0" fontId="9" fillId="7" borderId="11" xfId="0" applyFont="1" applyFill="1" applyBorder="1" applyAlignment="1" applyProtection="1">
      <alignment horizontal="left"/>
      <protection locked="0"/>
    </xf>
    <xf numFmtId="0" fontId="9" fillId="7" borderId="48" xfId="0" applyFont="1" applyFill="1" applyBorder="1" applyProtection="1">
      <protection locked="0"/>
    </xf>
    <xf numFmtId="0" fontId="9" fillId="7" borderId="15" xfId="0" applyFont="1" applyFill="1" applyBorder="1" applyAlignment="1" applyProtection="1">
      <alignment horizontal="left"/>
      <protection locked="0"/>
    </xf>
    <xf numFmtId="0" fontId="9" fillId="7" borderId="49" xfId="0" applyFont="1" applyFill="1" applyBorder="1" applyProtection="1">
      <protection locked="0"/>
    </xf>
    <xf numFmtId="165" fontId="8" fillId="7" borderId="10" xfId="1" applyNumberFormat="1" applyFont="1" applyFill="1" applyBorder="1" applyAlignment="1" applyProtection="1">
      <alignment horizontal="center"/>
      <protection locked="0"/>
    </xf>
    <xf numFmtId="165" fontId="8" fillId="7" borderId="22" xfId="1" applyNumberFormat="1" applyFont="1" applyFill="1" applyBorder="1" applyAlignment="1" applyProtection="1">
      <protection locked="0"/>
    </xf>
    <xf numFmtId="165" fontId="8" fillId="7" borderId="13" xfId="1" applyNumberFormat="1" applyFont="1" applyFill="1" applyBorder="1" applyAlignment="1" applyProtection="1">
      <protection locked="0"/>
    </xf>
    <xf numFmtId="165" fontId="8" fillId="7" borderId="6" xfId="1" applyNumberFormat="1" applyFont="1" applyFill="1" applyBorder="1" applyAlignment="1" applyProtection="1">
      <protection locked="0"/>
    </xf>
    <xf numFmtId="165" fontId="8" fillId="7" borderId="45" xfId="1" applyNumberFormat="1" applyFont="1" applyFill="1" applyBorder="1" applyProtection="1">
      <protection locked="0"/>
    </xf>
    <xf numFmtId="165" fontId="8" fillId="7" borderId="11" xfId="1" applyNumberFormat="1" applyFont="1" applyFill="1" applyBorder="1" applyProtection="1">
      <protection locked="0"/>
    </xf>
    <xf numFmtId="165" fontId="8" fillId="7" borderId="48" xfId="1" applyNumberFormat="1" applyFont="1" applyFill="1" applyBorder="1" applyProtection="1">
      <protection locked="0"/>
    </xf>
    <xf numFmtId="165" fontId="8" fillId="7" borderId="21" xfId="1" applyNumberFormat="1" applyFont="1" applyFill="1" applyBorder="1" applyProtection="1">
      <protection locked="0"/>
    </xf>
    <xf numFmtId="165" fontId="8" fillId="7" borderId="46" xfId="1" applyNumberFormat="1" applyFont="1" applyFill="1" applyBorder="1" applyProtection="1">
      <protection locked="0"/>
    </xf>
    <xf numFmtId="165" fontId="8" fillId="7" borderId="15" xfId="1" applyNumberFormat="1" applyFont="1" applyFill="1" applyBorder="1" applyProtection="1">
      <protection locked="0"/>
    </xf>
    <xf numFmtId="165" fontId="8" fillId="7" borderId="49" xfId="1" applyNumberFormat="1" applyFont="1" applyFill="1" applyBorder="1" applyProtection="1">
      <protection locked="0"/>
    </xf>
    <xf numFmtId="165" fontId="8" fillId="7" borderId="2" xfId="1" applyNumberFormat="1" applyFont="1" applyFill="1" applyBorder="1" applyProtection="1">
      <protection locked="0"/>
    </xf>
    <xf numFmtId="165" fontId="8" fillId="6" borderId="21" xfId="1" applyNumberFormat="1" applyFont="1" applyFill="1" applyBorder="1"/>
    <xf numFmtId="0" fontId="8" fillId="2" borderId="0" xfId="0" applyFont="1" applyFill="1" applyAlignment="1" applyProtection="1">
      <alignment horizontal="center"/>
      <protection locked="0"/>
    </xf>
    <xf numFmtId="0" fontId="5" fillId="2" borderId="0" xfId="0" applyNumberFormat="1" applyFont="1" applyFill="1" applyBorder="1" applyAlignment="1" applyProtection="1">
      <protection locked="0"/>
    </xf>
    <xf numFmtId="0" fontId="25" fillId="2" borderId="0" xfId="0" applyFont="1" applyFill="1" applyBorder="1" applyAlignment="1" applyProtection="1">
      <alignment horizontal="left"/>
      <protection locked="0"/>
    </xf>
    <xf numFmtId="0" fontId="9" fillId="2" borderId="0" xfId="0" applyFont="1" applyFill="1" applyBorder="1" applyAlignment="1" applyProtection="1">
      <alignment horizontal="left"/>
      <protection locked="0"/>
    </xf>
    <xf numFmtId="0" fontId="8" fillId="2" borderId="0" xfId="0" applyFont="1" applyFill="1" applyBorder="1" applyAlignment="1" applyProtection="1">
      <alignment horizontal="center"/>
      <protection locked="0"/>
    </xf>
    <xf numFmtId="0" fontId="2" fillId="2" borderId="0" xfId="0" applyFont="1" applyFill="1" applyAlignment="1" applyProtection="1">
      <alignment horizontal="center"/>
      <protection locked="0"/>
    </xf>
    <xf numFmtId="0" fontId="2" fillId="2" borderId="0" xfId="0" applyFont="1" applyFill="1" applyBorder="1" applyAlignment="1" applyProtection="1">
      <protection locked="0"/>
    </xf>
    <xf numFmtId="0" fontId="12" fillId="2" borderId="0" xfId="0" applyFont="1" applyFill="1" applyAlignment="1" applyProtection="1">
      <alignment horizontal="center"/>
      <protection locked="0"/>
    </xf>
    <xf numFmtId="0" fontId="12" fillId="2" borderId="0" xfId="0" applyFont="1" applyFill="1" applyAlignment="1" applyProtection="1">
      <alignment horizontal="center" wrapText="1"/>
      <protection locked="0"/>
    </xf>
    <xf numFmtId="168" fontId="8" fillId="7" borderId="1" xfId="1" applyNumberFormat="1" applyFont="1" applyFill="1" applyBorder="1" applyProtection="1">
      <protection locked="0"/>
    </xf>
    <xf numFmtId="168" fontId="8" fillId="7" borderId="21" xfId="1" applyNumberFormat="1" applyFont="1" applyFill="1" applyBorder="1" applyProtection="1">
      <protection locked="0"/>
    </xf>
    <xf numFmtId="168" fontId="8" fillId="7" borderId="2" xfId="1" applyNumberFormat="1" applyFont="1" applyFill="1" applyBorder="1" applyProtection="1">
      <protection locked="0"/>
    </xf>
    <xf numFmtId="0" fontId="9" fillId="2" borderId="0" xfId="0" applyFont="1" applyFill="1" applyBorder="1" applyAlignment="1" applyProtection="1">
      <alignment horizontal="left" wrapText="1"/>
      <protection locked="0"/>
    </xf>
    <xf numFmtId="0" fontId="8" fillId="2" borderId="7" xfId="0" applyFont="1" applyFill="1" applyBorder="1" applyProtection="1">
      <protection locked="0"/>
    </xf>
    <xf numFmtId="0" fontId="12" fillId="2" borderId="0" xfId="0" applyFont="1" applyFill="1" applyBorder="1" applyAlignment="1" applyProtection="1">
      <alignment horizontal="center" vertical="center" wrapText="1"/>
      <protection locked="0"/>
    </xf>
    <xf numFmtId="0" fontId="9" fillId="2" borderId="0" xfId="0" applyFont="1" applyFill="1" applyProtection="1">
      <protection locked="0"/>
    </xf>
    <xf numFmtId="0" fontId="2" fillId="2" borderId="0" xfId="0" applyFont="1" applyFill="1" applyAlignment="1" applyProtection="1">
      <alignment horizontal="right" wrapText="1"/>
      <protection locked="0"/>
    </xf>
    <xf numFmtId="0" fontId="2" fillId="2" borderId="0" xfId="0" applyFont="1" applyFill="1" applyAlignment="1" applyProtection="1">
      <alignment horizontal="center" wrapText="1"/>
      <protection locked="0"/>
    </xf>
    <xf numFmtId="0" fontId="8" fillId="2" borderId="30" xfId="0" applyFont="1" applyFill="1" applyBorder="1" applyProtection="1">
      <protection locked="0"/>
    </xf>
    <xf numFmtId="0" fontId="8" fillId="2" borderId="34" xfId="0" applyFont="1" applyFill="1" applyBorder="1" applyProtection="1">
      <protection locked="0"/>
    </xf>
    <xf numFmtId="0" fontId="8" fillId="2" borderId="35" xfId="0" applyFont="1" applyFill="1" applyBorder="1" applyProtection="1">
      <protection locked="0"/>
    </xf>
    <xf numFmtId="0" fontId="8" fillId="2" borderId="29" xfId="0" applyFont="1" applyFill="1" applyBorder="1" applyProtection="1">
      <protection locked="0"/>
    </xf>
    <xf numFmtId="0" fontId="8" fillId="2" borderId="12" xfId="0" applyFont="1" applyFill="1" applyBorder="1" applyProtection="1">
      <protection locked="0"/>
    </xf>
    <xf numFmtId="168" fontId="8" fillId="7" borderId="1" xfId="1" applyNumberFormat="1" applyFont="1" applyFill="1" applyBorder="1" applyProtection="1"/>
    <xf numFmtId="168" fontId="8" fillId="7" borderId="21" xfId="1" applyNumberFormat="1" applyFont="1" applyFill="1" applyBorder="1" applyProtection="1"/>
    <xf numFmtId="168" fontId="8" fillId="7" borderId="10" xfId="1" applyNumberFormat="1" applyFont="1" applyFill="1" applyBorder="1" applyProtection="1"/>
    <xf numFmtId="9" fontId="2" fillId="6" borderId="34" xfId="0" applyNumberFormat="1" applyFont="1" applyFill="1" applyBorder="1" applyAlignment="1">
      <alignment horizontal="center"/>
    </xf>
    <xf numFmtId="0" fontId="1" fillId="6" borderId="1" xfId="0" applyNumberFormat="1" applyFont="1" applyFill="1" applyBorder="1" applyAlignment="1" applyProtection="1">
      <alignment horizontal="center"/>
    </xf>
    <xf numFmtId="165" fontId="1" fillId="6" borderId="1" xfId="1" applyNumberFormat="1" applyFont="1" applyFill="1" applyBorder="1" applyAlignment="1" applyProtection="1">
      <alignment horizontal="right"/>
    </xf>
    <xf numFmtId="0" fontId="1" fillId="6" borderId="6" xfId="0" applyNumberFormat="1" applyFont="1" applyFill="1" applyBorder="1" applyAlignment="1" applyProtection="1">
      <alignment horizontal="center"/>
    </xf>
    <xf numFmtId="0" fontId="1" fillId="6" borderId="21" xfId="0" applyNumberFormat="1" applyFont="1" applyFill="1" applyBorder="1" applyAlignment="1" applyProtection="1">
      <alignment horizontal="center"/>
    </xf>
    <xf numFmtId="165" fontId="1" fillId="6" borderId="21" xfId="1" applyNumberFormat="1" applyFont="1" applyFill="1" applyBorder="1" applyAlignment="1" applyProtection="1">
      <alignment horizontal="right"/>
    </xf>
    <xf numFmtId="0" fontId="1" fillId="6" borderId="10" xfId="0" applyNumberFormat="1" applyFont="1" applyFill="1" applyBorder="1" applyAlignment="1" applyProtection="1">
      <alignment horizontal="center"/>
    </xf>
    <xf numFmtId="0" fontId="1" fillId="6" borderId="2" xfId="0" applyNumberFormat="1" applyFont="1" applyFill="1" applyBorder="1" applyAlignment="1" applyProtection="1">
      <alignment horizontal="center"/>
    </xf>
    <xf numFmtId="165" fontId="1" fillId="6" borderId="2" xfId="1" applyNumberFormat="1" applyFont="1" applyFill="1" applyBorder="1" applyAlignment="1" applyProtection="1">
      <alignment horizontal="center"/>
    </xf>
    <xf numFmtId="0" fontId="2" fillId="6" borderId="0" xfId="0" applyFont="1" applyFill="1" applyBorder="1" applyAlignment="1" applyProtection="1">
      <alignment horizontal="center"/>
    </xf>
    <xf numFmtId="165" fontId="2" fillId="6" borderId="0" xfId="1" applyNumberFormat="1" applyFont="1" applyFill="1" applyBorder="1" applyAlignment="1" applyProtection="1">
      <alignment horizontal="right"/>
    </xf>
    <xf numFmtId="165" fontId="8" fillId="6" borderId="1" xfId="1" applyNumberFormat="1" applyFont="1" applyFill="1" applyBorder="1" applyAlignment="1" applyProtection="1"/>
    <xf numFmtId="165" fontId="8" fillId="6" borderId="21" xfId="1" applyNumberFormat="1" applyFont="1" applyFill="1" applyBorder="1" applyAlignment="1" applyProtection="1"/>
    <xf numFmtId="165" fontId="8" fillId="6" borderId="2" xfId="1" applyNumberFormat="1" applyFont="1" applyFill="1" applyBorder="1" applyAlignment="1" applyProtection="1"/>
    <xf numFmtId="168" fontId="2" fillId="6" borderId="0" xfId="0" applyNumberFormat="1" applyFont="1" applyFill="1" applyBorder="1" applyAlignment="1" applyProtection="1">
      <alignment horizontal="right"/>
    </xf>
    <xf numFmtId="0" fontId="2" fillId="6" borderId="0" xfId="0" applyFont="1" applyFill="1" applyBorder="1" applyAlignment="1" applyProtection="1">
      <alignment horizontal="right"/>
    </xf>
    <xf numFmtId="0" fontId="1" fillId="6" borderId="9" xfId="0" applyFont="1" applyFill="1" applyBorder="1" applyAlignment="1" applyProtection="1">
      <alignment horizontal="center"/>
    </xf>
    <xf numFmtId="0" fontId="1" fillId="6" borderId="1" xfId="0" applyFont="1" applyFill="1" applyBorder="1" applyAlignment="1" applyProtection="1">
      <alignment horizontal="center"/>
    </xf>
    <xf numFmtId="0" fontId="1" fillId="6" borderId="1" xfId="0" applyFont="1" applyFill="1" applyBorder="1" applyAlignment="1" applyProtection="1">
      <alignment horizontal="right"/>
    </xf>
    <xf numFmtId="0" fontId="1" fillId="6" borderId="6" xfId="0" applyFont="1" applyFill="1" applyBorder="1" applyAlignment="1" applyProtection="1">
      <alignment horizontal="center"/>
    </xf>
    <xf numFmtId="0" fontId="1" fillId="6" borderId="21" xfId="0" applyFont="1" applyFill="1" applyBorder="1" applyAlignment="1" applyProtection="1">
      <alignment horizontal="center"/>
    </xf>
    <xf numFmtId="0" fontId="1" fillId="6" borderId="21" xfId="0" applyFont="1" applyFill="1" applyBorder="1" applyAlignment="1" applyProtection="1">
      <alignment horizontal="right"/>
    </xf>
    <xf numFmtId="0" fontId="1" fillId="6" borderId="10" xfId="0" applyFont="1" applyFill="1" applyBorder="1" applyAlignment="1" applyProtection="1">
      <alignment horizontal="center"/>
    </xf>
    <xf numFmtId="0" fontId="1" fillId="6" borderId="2" xfId="0" applyFont="1" applyFill="1" applyBorder="1" applyAlignment="1" applyProtection="1">
      <alignment horizontal="center"/>
    </xf>
    <xf numFmtId="0" fontId="1" fillId="6" borderId="2" xfId="0" applyFont="1" applyFill="1" applyBorder="1" applyAlignment="1" applyProtection="1">
      <alignment horizontal="right"/>
    </xf>
    <xf numFmtId="165" fontId="1" fillId="6" borderId="2" xfId="1" applyNumberFormat="1" applyFont="1" applyFill="1" applyBorder="1" applyAlignment="1" applyProtection="1">
      <alignment horizontal="right"/>
    </xf>
    <xf numFmtId="0" fontId="8" fillId="6" borderId="0" xfId="0" applyFont="1" applyFill="1" applyProtection="1"/>
    <xf numFmtId="0" fontId="8" fillId="6" borderId="0" xfId="0" applyFont="1" applyFill="1" applyAlignment="1" applyProtection="1">
      <alignment horizontal="center"/>
    </xf>
    <xf numFmtId="1" fontId="1" fillId="6" borderId="16" xfId="0" applyNumberFormat="1" applyFont="1" applyFill="1" applyBorder="1" applyAlignment="1" applyProtection="1">
      <alignment horizontal="right"/>
    </xf>
    <xf numFmtId="1" fontId="1" fillId="6" borderId="22" xfId="0" applyNumberFormat="1" applyFont="1" applyFill="1" applyBorder="1" applyAlignment="1" applyProtection="1">
      <alignment horizontal="right"/>
    </xf>
    <xf numFmtId="1" fontId="1" fillId="6" borderId="17" xfId="0" applyNumberFormat="1" applyFont="1" applyFill="1" applyBorder="1" applyAlignment="1" applyProtection="1">
      <alignment horizontal="right"/>
    </xf>
    <xf numFmtId="0" fontId="1" fillId="7" borderId="47" xfId="0" applyFont="1" applyFill="1" applyBorder="1" applyAlignment="1" applyProtection="1">
      <alignment horizontal="left"/>
      <protection locked="0"/>
    </xf>
    <xf numFmtId="0" fontId="1" fillId="7" borderId="48" xfId="0" applyFont="1" applyFill="1" applyBorder="1" applyAlignment="1" applyProtection="1">
      <alignment horizontal="left"/>
      <protection locked="0"/>
    </xf>
    <xf numFmtId="0" fontId="1" fillId="7" borderId="48" xfId="0" applyFont="1" applyFill="1" applyBorder="1" applyAlignment="1" applyProtection="1">
      <alignment horizontal="left" wrapText="1"/>
      <protection locked="0"/>
    </xf>
    <xf numFmtId="0" fontId="9" fillId="7" borderId="48" xfId="0" applyFont="1" applyFill="1" applyBorder="1" applyAlignment="1" applyProtection="1">
      <alignment horizontal="left"/>
      <protection locked="0"/>
    </xf>
    <xf numFmtId="0" fontId="9" fillId="7" borderId="49" xfId="0" applyFont="1" applyFill="1" applyBorder="1" applyAlignment="1" applyProtection="1">
      <alignment horizontal="left"/>
      <protection locked="0"/>
    </xf>
    <xf numFmtId="165" fontId="8" fillId="7" borderId="11" xfId="1" applyNumberFormat="1" applyFont="1" applyFill="1" applyBorder="1" applyAlignment="1" applyProtection="1">
      <alignment horizontal="center"/>
      <protection locked="0"/>
    </xf>
    <xf numFmtId="165" fontId="8" fillId="6" borderId="34" xfId="1" applyNumberFormat="1" applyFont="1" applyFill="1" applyBorder="1" applyAlignment="1">
      <alignment horizontal="center"/>
    </xf>
    <xf numFmtId="165" fontId="8" fillId="7" borderId="22" xfId="1" applyNumberFormat="1" applyFont="1" applyFill="1" applyBorder="1" applyAlignment="1" applyProtection="1">
      <alignment horizontal="center"/>
      <protection locked="0"/>
    </xf>
    <xf numFmtId="165" fontId="8" fillId="7" borderId="13"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0" fontId="8" fillId="7" borderId="11" xfId="0" applyFont="1" applyFill="1" applyBorder="1" applyAlignment="1" applyProtection="1">
      <alignment horizontal="left"/>
      <protection locked="0"/>
    </xf>
    <xf numFmtId="0" fontId="8" fillId="7" borderId="48" xfId="0" applyFont="1" applyFill="1" applyBorder="1" applyAlignment="1" applyProtection="1">
      <alignment horizontal="left"/>
      <protection locked="0"/>
    </xf>
    <xf numFmtId="1" fontId="8" fillId="7" borderId="48" xfId="1" applyNumberFormat="1" applyFont="1" applyFill="1" applyBorder="1" applyProtection="1">
      <protection locked="0"/>
    </xf>
    <xf numFmtId="165" fontId="8" fillId="7" borderId="6" xfId="1" applyNumberFormat="1" applyFont="1" applyFill="1" applyBorder="1" applyAlignment="1" applyProtection="1">
      <alignment horizontal="center"/>
      <protection locked="0"/>
    </xf>
    <xf numFmtId="165" fontId="8" fillId="6" borderId="12" xfId="1" applyNumberFormat="1" applyFont="1" applyFill="1" applyBorder="1" applyAlignment="1">
      <alignment horizontal="center"/>
    </xf>
    <xf numFmtId="166" fontId="8" fillId="2" borderId="0" xfId="2" applyNumberFormat="1" applyFont="1" applyFill="1" applyProtection="1"/>
    <xf numFmtId="165" fontId="8" fillId="2" borderId="0" xfId="1" applyNumberFormat="1" applyFont="1" applyFill="1" applyProtection="1"/>
    <xf numFmtId="165" fontId="8" fillId="7" borderId="22" xfId="1" applyNumberFormat="1" applyFont="1" applyFill="1" applyBorder="1" applyAlignment="1" applyProtection="1">
      <alignment horizontal="center"/>
      <protection locked="0"/>
    </xf>
    <xf numFmtId="165" fontId="8" fillId="7" borderId="13"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0" fontId="1" fillId="7" borderId="53" xfId="0" applyFont="1" applyFill="1" applyBorder="1" applyAlignment="1" applyProtection="1">
      <alignment horizontal="left"/>
      <protection locked="0"/>
    </xf>
    <xf numFmtId="0" fontId="1" fillId="7" borderId="54" xfId="0" applyFont="1" applyFill="1" applyBorder="1" applyAlignment="1" applyProtection="1">
      <alignment horizontal="left"/>
      <protection locked="0"/>
    </xf>
    <xf numFmtId="0" fontId="1" fillId="7" borderId="54" xfId="0" applyFont="1" applyFill="1" applyBorder="1" applyAlignment="1" applyProtection="1">
      <alignment horizontal="left" wrapText="1"/>
      <protection locked="0"/>
    </xf>
    <xf numFmtId="165" fontId="8" fillId="7" borderId="25" xfId="1" applyNumberFormat="1" applyFont="1" applyFill="1" applyBorder="1" applyAlignment="1" applyProtection="1">
      <alignment horizontal="center"/>
      <protection locked="0"/>
    </xf>
    <xf numFmtId="165" fontId="8" fillId="7" borderId="4" xfId="1" applyNumberFormat="1" applyFont="1" applyFill="1" applyBorder="1" applyProtection="1">
      <protection locked="0"/>
    </xf>
    <xf numFmtId="0" fontId="1" fillId="6" borderId="9" xfId="0" applyNumberFormat="1" applyFont="1" applyFill="1" applyBorder="1" applyAlignment="1" applyProtection="1">
      <alignment horizontal="left"/>
    </xf>
    <xf numFmtId="0" fontId="1" fillId="6" borderId="6" xfId="0" applyNumberFormat="1" applyFont="1" applyFill="1" applyBorder="1" applyAlignment="1" applyProtection="1">
      <alignment horizontal="left"/>
    </xf>
    <xf numFmtId="10" fontId="8" fillId="6" borderId="12" xfId="4" applyNumberFormat="1" applyFont="1" applyFill="1" applyBorder="1" applyAlignment="1">
      <alignment horizontal="center"/>
    </xf>
    <xf numFmtId="165" fontId="8" fillId="7" borderId="17" xfId="1" applyNumberFormat="1" applyFont="1" applyFill="1" applyBorder="1" applyAlignment="1" applyProtection="1">
      <alignment horizontal="center"/>
      <protection locked="0"/>
    </xf>
    <xf numFmtId="167" fontId="10" fillId="7" borderId="13" xfId="0" applyNumberFormat="1" applyFont="1" applyFill="1" applyBorder="1" applyAlignment="1" applyProtection="1">
      <alignment horizontal="left"/>
      <protection locked="0"/>
    </xf>
    <xf numFmtId="167" fontId="8" fillId="7" borderId="13" xfId="0" applyNumberFormat="1" applyFont="1" applyFill="1" applyBorder="1" applyAlignment="1" applyProtection="1">
      <alignment horizontal="left"/>
      <protection locked="0"/>
    </xf>
    <xf numFmtId="0" fontId="9" fillId="7" borderId="13" xfId="0" applyFont="1" applyFill="1" applyBorder="1" applyAlignment="1" applyProtection="1">
      <alignment horizontal="left"/>
      <protection locked="0"/>
    </xf>
    <xf numFmtId="0" fontId="8" fillId="7" borderId="13" xfId="0" applyFont="1" applyFill="1" applyBorder="1" applyAlignment="1" applyProtection="1">
      <alignment horizontal="left"/>
      <protection locked="0"/>
    </xf>
    <xf numFmtId="0" fontId="7" fillId="7" borderId="14" xfId="3" applyFill="1" applyBorder="1" applyAlignment="1" applyProtection="1">
      <alignment horizontal="left"/>
      <protection locked="0"/>
    </xf>
    <xf numFmtId="0" fontId="8" fillId="7" borderId="14" xfId="0" applyFont="1" applyFill="1" applyBorder="1" applyAlignment="1" applyProtection="1">
      <alignment horizontal="left"/>
      <protection locked="0"/>
    </xf>
    <xf numFmtId="0" fontId="9" fillId="2" borderId="0" xfId="0" applyFont="1" applyFill="1" applyAlignment="1" applyProtection="1">
      <alignment horizontal="left" vertical="top" wrapText="1"/>
    </xf>
    <xf numFmtId="0" fontId="9" fillId="2" borderId="7" xfId="0" applyFont="1" applyFill="1" applyBorder="1" applyAlignment="1" applyProtection="1">
      <alignment horizontal="center"/>
    </xf>
    <xf numFmtId="0" fontId="8" fillId="2" borderId="0" xfId="0" applyFont="1" applyFill="1" applyAlignment="1" applyProtection="1">
      <alignment horizontal="left" vertical="top" wrapText="1"/>
      <protection locked="0"/>
    </xf>
    <xf numFmtId="0" fontId="22" fillId="7" borderId="0" xfId="0" applyFont="1" applyFill="1" applyBorder="1" applyAlignment="1" applyProtection="1">
      <alignment horizontal="center" vertical="center" wrapText="1"/>
    </xf>
    <xf numFmtId="0" fontId="22" fillId="8" borderId="0" xfId="0" applyFont="1" applyFill="1" applyBorder="1" applyAlignment="1" applyProtection="1">
      <alignment horizontal="center" vertical="center" wrapText="1"/>
    </xf>
    <xf numFmtId="0" fontId="9" fillId="6" borderId="18" xfId="0" applyFont="1" applyFill="1" applyBorder="1" applyAlignment="1" applyProtection="1">
      <alignment horizontal="center"/>
    </xf>
    <xf numFmtId="0" fontId="9" fillId="2" borderId="29" xfId="0" applyFont="1" applyFill="1" applyBorder="1" applyAlignment="1" applyProtection="1">
      <alignment horizontal="center"/>
    </xf>
    <xf numFmtId="0" fontId="9" fillId="2" borderId="28" xfId="0" applyFont="1" applyFill="1" applyBorder="1" applyAlignment="1" applyProtection="1"/>
    <xf numFmtId="0" fontId="8" fillId="2" borderId="0" xfId="0" applyFont="1" applyFill="1" applyBorder="1" applyAlignment="1" applyProtection="1">
      <alignment horizontal="right" wrapText="1"/>
    </xf>
    <xf numFmtId="0" fontId="8" fillId="2" borderId="34" xfId="0" applyFont="1" applyFill="1" applyBorder="1" applyAlignment="1" applyProtection="1">
      <alignment horizontal="right" wrapText="1"/>
    </xf>
    <xf numFmtId="0" fontId="9" fillId="2" borderId="40" xfId="0" applyFont="1" applyFill="1" applyBorder="1" applyAlignment="1" applyProtection="1">
      <alignment horizontal="center"/>
    </xf>
    <xf numFmtId="0" fontId="9" fillId="2" borderId="41" xfId="0" applyFont="1" applyFill="1" applyBorder="1" applyAlignment="1" applyProtection="1">
      <alignment horizontal="center"/>
    </xf>
    <xf numFmtId="0" fontId="8" fillId="2" borderId="43" xfId="0" applyFont="1" applyFill="1" applyBorder="1" applyAlignment="1" applyProtection="1">
      <alignment horizontal="center"/>
    </xf>
    <xf numFmtId="0" fontId="9" fillId="7" borderId="19" xfId="0" applyFont="1" applyFill="1" applyBorder="1" applyAlignment="1" applyProtection="1">
      <alignment horizontal="center"/>
      <protection locked="0"/>
    </xf>
    <xf numFmtId="0" fontId="9" fillId="6" borderId="9" xfId="0" applyFont="1" applyFill="1" applyBorder="1" applyAlignment="1">
      <alignment horizontal="center"/>
    </xf>
    <xf numFmtId="0" fontId="8" fillId="6" borderId="1" xfId="0" applyFont="1" applyFill="1" applyBorder="1" applyAlignment="1"/>
    <xf numFmtId="0" fontId="8" fillId="6" borderId="16" xfId="0" applyFont="1" applyFill="1" applyBorder="1" applyAlignment="1"/>
    <xf numFmtId="0" fontId="9" fillId="2" borderId="10" xfId="0" applyFont="1" applyFill="1" applyBorder="1" applyAlignment="1">
      <alignment horizontal="center"/>
    </xf>
    <xf numFmtId="0" fontId="8" fillId="2" borderId="2" xfId="0" applyFont="1" applyFill="1" applyBorder="1" applyAlignment="1">
      <alignment horizontal="center"/>
    </xf>
    <xf numFmtId="0" fontId="8" fillId="2" borderId="17" xfId="0" applyFont="1" applyFill="1" applyBorder="1" applyAlignment="1">
      <alignment horizontal="center"/>
    </xf>
    <xf numFmtId="0" fontId="28" fillId="2" borderId="0" xfId="0" applyFont="1" applyFill="1" applyBorder="1" applyAlignment="1">
      <alignment horizontal="left"/>
    </xf>
    <xf numFmtId="0" fontId="2" fillId="2" borderId="0" xfId="0" applyFont="1" applyFill="1" applyAlignment="1">
      <alignment horizontal="center" wrapText="1"/>
    </xf>
    <xf numFmtId="0" fontId="2" fillId="2" borderId="29" xfId="0" applyFont="1" applyFill="1" applyBorder="1" applyAlignment="1">
      <alignment horizontal="center" wrapText="1"/>
    </xf>
    <xf numFmtId="0" fontId="12" fillId="2" borderId="0" xfId="0" applyFont="1" applyFill="1" applyBorder="1" applyAlignment="1">
      <alignment horizontal="center" wrapText="1"/>
    </xf>
    <xf numFmtId="0" fontId="12" fillId="2" borderId="29" xfId="0" applyFont="1" applyFill="1" applyBorder="1" applyAlignment="1">
      <alignment horizontal="center" wrapText="1"/>
    </xf>
    <xf numFmtId="165" fontId="8" fillId="7" borderId="22" xfId="1" applyNumberFormat="1" applyFont="1" applyFill="1" applyBorder="1" applyAlignment="1" applyProtection="1">
      <alignment horizontal="center"/>
      <protection locked="0"/>
    </xf>
    <xf numFmtId="165" fontId="8" fillId="7" borderId="13"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0" fontId="12" fillId="2" borderId="18" xfId="0" applyFont="1" applyFill="1" applyBorder="1" applyAlignment="1">
      <alignment horizontal="center"/>
    </xf>
    <xf numFmtId="0" fontId="9" fillId="0" borderId="32" xfId="0" applyFont="1" applyBorder="1" applyAlignment="1">
      <alignment horizontal="center" wrapText="1"/>
    </xf>
    <xf numFmtId="0" fontId="9" fillId="0" borderId="7" xfId="0" applyFont="1" applyBorder="1" applyAlignment="1">
      <alignment horizontal="center" wrapText="1"/>
    </xf>
    <xf numFmtId="0" fontId="9" fillId="0" borderId="33" xfId="0" applyFont="1" applyBorder="1" applyAlignment="1">
      <alignment horizontal="center" wrapText="1"/>
    </xf>
    <xf numFmtId="0" fontId="9" fillId="2" borderId="32" xfId="0" applyFont="1" applyFill="1" applyBorder="1" applyAlignment="1">
      <alignment horizontal="center"/>
    </xf>
    <xf numFmtId="0" fontId="9" fillId="2" borderId="7" xfId="0" applyFont="1" applyFill="1" applyBorder="1" applyAlignment="1">
      <alignment horizontal="center"/>
    </xf>
    <xf numFmtId="0" fontId="9" fillId="2" borderId="33" xfId="0" applyFont="1" applyFill="1" applyBorder="1" applyAlignment="1">
      <alignment horizontal="center"/>
    </xf>
    <xf numFmtId="165" fontId="8" fillId="7" borderId="17" xfId="1" applyNumberFormat="1" applyFont="1" applyFill="1" applyBorder="1" applyAlignment="1" applyProtection="1">
      <alignment horizontal="center"/>
      <protection locked="0"/>
    </xf>
    <xf numFmtId="165" fontId="8" fillId="7" borderId="14" xfId="1" applyNumberFormat="1" applyFont="1" applyFill="1" applyBorder="1" applyAlignment="1" applyProtection="1">
      <alignment horizontal="center"/>
      <protection locked="0"/>
    </xf>
    <xf numFmtId="165" fontId="8" fillId="7" borderId="10" xfId="1" applyNumberFormat="1" applyFont="1" applyFill="1" applyBorder="1" applyAlignment="1" applyProtection="1">
      <alignment horizontal="center"/>
      <protection locked="0"/>
    </xf>
    <xf numFmtId="0" fontId="12" fillId="2" borderId="0" xfId="0" applyFont="1" applyFill="1" applyBorder="1" applyAlignment="1">
      <alignment horizontal="center"/>
    </xf>
    <xf numFmtId="0" fontId="1" fillId="2" borderId="0" xfId="0" applyFont="1" applyFill="1" applyBorder="1" applyAlignment="1">
      <alignment horizontal="right" wrapText="1"/>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165" fontId="8" fillId="7" borderId="16" xfId="1" applyNumberFormat="1" applyFont="1" applyFill="1" applyBorder="1" applyAlignment="1" applyProtection="1">
      <alignment horizontal="center"/>
      <protection locked="0"/>
    </xf>
    <xf numFmtId="165" fontId="8" fillId="7" borderId="19" xfId="1" applyNumberFormat="1" applyFont="1" applyFill="1" applyBorder="1" applyAlignment="1" applyProtection="1">
      <alignment horizontal="center"/>
      <protection locked="0"/>
    </xf>
    <xf numFmtId="165" fontId="8" fillId="7" borderId="9" xfId="1" applyNumberFormat="1" applyFont="1" applyFill="1" applyBorder="1" applyAlignment="1" applyProtection="1">
      <alignment horizontal="center"/>
      <protection locked="0"/>
    </xf>
    <xf numFmtId="165" fontId="8" fillId="7" borderId="22" xfId="1" applyNumberFormat="1" applyFont="1" applyFill="1" applyBorder="1" applyAlignment="1">
      <alignment horizontal="center"/>
    </xf>
    <xf numFmtId="165" fontId="8" fillId="7" borderId="13" xfId="1" applyNumberFormat="1" applyFont="1" applyFill="1" applyBorder="1" applyAlignment="1">
      <alignment horizontal="center"/>
    </xf>
    <xf numFmtId="165" fontId="8" fillId="7" borderId="6" xfId="1" applyNumberFormat="1" applyFont="1" applyFill="1" applyBorder="1" applyAlignment="1">
      <alignment horizontal="center"/>
    </xf>
    <xf numFmtId="165" fontId="8" fillId="7" borderId="55" xfId="1" applyNumberFormat="1" applyFont="1" applyFill="1" applyBorder="1" applyAlignment="1">
      <alignment horizontal="center"/>
    </xf>
    <xf numFmtId="165" fontId="8" fillId="7" borderId="7" xfId="1" applyNumberFormat="1" applyFont="1" applyFill="1" applyBorder="1" applyAlignment="1">
      <alignment horizontal="center"/>
    </xf>
    <xf numFmtId="165" fontId="8" fillId="7" borderId="56" xfId="1" applyNumberFormat="1" applyFont="1" applyFill="1" applyBorder="1" applyAlignment="1">
      <alignment horizontal="center"/>
    </xf>
    <xf numFmtId="0" fontId="9" fillId="2" borderId="32" xfId="0" applyFont="1" applyFill="1" applyBorder="1" applyAlignment="1" applyProtection="1">
      <alignment horizontal="center" wrapText="1"/>
      <protection locked="0"/>
    </xf>
    <xf numFmtId="0" fontId="9" fillId="2" borderId="7" xfId="0" applyFont="1" applyFill="1" applyBorder="1" applyAlignment="1" applyProtection="1">
      <alignment horizontal="center" wrapText="1"/>
      <protection locked="0"/>
    </xf>
    <xf numFmtId="0" fontId="9" fillId="2" borderId="33" xfId="0" applyFont="1" applyFill="1" applyBorder="1" applyAlignment="1" applyProtection="1">
      <alignment horizontal="center" wrapText="1"/>
      <protection locked="0"/>
    </xf>
    <xf numFmtId="0" fontId="22" fillId="7" borderId="0" xfId="0" applyFont="1" applyFill="1" applyBorder="1" applyAlignment="1" applyProtection="1">
      <alignment horizontal="center" vertical="center" wrapText="1"/>
      <protection locked="0"/>
    </xf>
    <xf numFmtId="0" fontId="22" fillId="8" borderId="0" xfId="0" applyFont="1" applyFill="1" applyBorder="1" applyAlignment="1" applyProtection="1">
      <alignment horizontal="center" vertical="center" wrapText="1"/>
      <protection locked="0"/>
    </xf>
    <xf numFmtId="0" fontId="9" fillId="6" borderId="9" xfId="0" applyFont="1" applyFill="1" applyBorder="1" applyAlignment="1" applyProtection="1">
      <alignment horizontal="center"/>
    </xf>
    <xf numFmtId="0" fontId="8" fillId="6" borderId="1" xfId="0" applyFont="1" applyFill="1" applyBorder="1" applyAlignment="1" applyProtection="1"/>
    <xf numFmtId="0" fontId="8" fillId="6" borderId="16" xfId="0" applyFont="1" applyFill="1" applyBorder="1" applyAlignment="1" applyProtection="1"/>
    <xf numFmtId="0" fontId="9" fillId="6" borderId="10" xfId="0" applyFont="1" applyFill="1" applyBorder="1" applyAlignment="1" applyProtection="1">
      <alignment horizontal="center"/>
    </xf>
    <xf numFmtId="0" fontId="8" fillId="6" borderId="2" xfId="0" applyFont="1" applyFill="1" applyBorder="1" applyAlignment="1" applyProtection="1">
      <alignment horizontal="center"/>
    </xf>
    <xf numFmtId="0" fontId="8" fillId="6" borderId="17" xfId="0" applyFont="1" applyFill="1" applyBorder="1" applyAlignment="1" applyProtection="1">
      <alignment horizontal="center"/>
    </xf>
    <xf numFmtId="0" fontId="12" fillId="2" borderId="29" xfId="0" applyFont="1" applyFill="1" applyBorder="1" applyAlignment="1" applyProtection="1">
      <alignment horizontal="center"/>
      <protection locked="0"/>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4</xdr:col>
      <xdr:colOff>571500</xdr:colOff>
      <xdr:row>69</xdr:row>
      <xdr:rowOff>95250</xdr:rowOff>
    </xdr:to>
    <xdr:sp macro="" textlink="">
      <xdr:nvSpPr>
        <xdr:cNvPr id="2" name="TextBox 1"/>
        <xdr:cNvSpPr txBox="1"/>
      </xdr:nvSpPr>
      <xdr:spPr>
        <a:xfrm>
          <a:off x="19050" y="2162175"/>
          <a:ext cx="11391900" cy="1112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a:effectLst/>
            </a:rPr>
            <a:t>     Each utility must submit a renewable resource energy report to the department by June 1st of each year using a form provided by the department. The report must reflect the actions that the utility took by the previous January 1st to meet the renewable requirements of chapter </a:t>
          </a:r>
          <a:r>
            <a:rPr lang="en-US">
              <a:effectLst/>
              <a:hlinkClick xmlns:r="http://schemas.openxmlformats.org/officeDocument/2006/relationships" r:id=""/>
            </a:rPr>
            <a:t>19.285</a:t>
          </a:r>
          <a:r>
            <a:rPr lang="en-US">
              <a:effectLst/>
            </a:rPr>
            <a:t> RCW for that year. For example, a utility must report by June 1, 2015, the actions it took by January 1, 2015, to meet requirements applicable to the 2015 target year.</a:t>
          </a:r>
        </a:p>
        <a:p>
          <a:r>
            <a:rPr lang="en-US" baseline="0">
              <a:effectLst/>
            </a:rPr>
            <a:t>     </a:t>
          </a:r>
          <a:r>
            <a:rPr lang="en-US">
              <a:effectLst/>
            </a:rPr>
            <a:t>(1) </a:t>
          </a:r>
          <a:r>
            <a:rPr lang="en-US" b="1">
              <a:effectLst/>
            </a:rPr>
            <a:t>Reporting requirements applicable to all utilities.</a:t>
          </a:r>
          <a:r>
            <a:rPr lang="en-US">
              <a:effectLst/>
            </a:rPr>
            <a:t> Each utility must report the following information:</a:t>
          </a:r>
        </a:p>
        <a:p>
          <a:r>
            <a:rPr lang="en-US">
              <a:effectLst/>
            </a:rPr>
            <a:t>     (a) The compliance method:</a:t>
          </a:r>
        </a:p>
        <a:p>
          <a:r>
            <a:rPr lang="en-US">
              <a:effectLst/>
            </a:rPr>
            <a:t>          (i) Renewable energy target using renewable resources and RECs – RCW </a:t>
          </a:r>
          <a:r>
            <a:rPr lang="en-US">
              <a:effectLst/>
              <a:hlinkClick xmlns:r="http://schemas.openxmlformats.org/officeDocument/2006/relationships" r:id=""/>
            </a:rPr>
            <a:t>19.285.040</a:t>
          </a:r>
          <a:r>
            <a:rPr lang="en-US">
              <a:effectLst/>
            </a:rPr>
            <a:t> (2)(a);</a:t>
          </a:r>
        </a:p>
        <a:p>
          <a:r>
            <a:rPr lang="en-US">
              <a:effectLst/>
            </a:rPr>
            <a:t>          (ii) Incremental cost – RCW </a:t>
          </a:r>
          <a:r>
            <a:rPr lang="en-US">
              <a:effectLst/>
              <a:hlinkClick xmlns:r="http://schemas.openxmlformats.org/officeDocument/2006/relationships" r:id=""/>
            </a:rPr>
            <a:t>19.285.050</a:t>
          </a:r>
          <a:r>
            <a:rPr lang="en-US">
              <a:effectLst/>
            </a:rPr>
            <a:t>; or</a:t>
          </a:r>
        </a:p>
        <a:p>
          <a:r>
            <a:rPr lang="en-US">
              <a:effectLst/>
            </a:rPr>
            <a:t>          (iii) No-growth cost – RCW </a:t>
          </a:r>
          <a:r>
            <a:rPr lang="en-US">
              <a:effectLst/>
              <a:hlinkClick xmlns:r="http://schemas.openxmlformats.org/officeDocument/2006/relationships" r:id=""/>
            </a:rPr>
            <a:t>19.285.040</a:t>
          </a:r>
          <a:r>
            <a:rPr lang="en-US">
              <a:effectLst/>
            </a:rPr>
            <a:t> (2)(d).</a:t>
          </a:r>
        </a:p>
        <a:p>
          <a:r>
            <a:rPr lang="en-US">
              <a:effectLst/>
            </a:rPr>
            <a:t>     (b) The utility's load for the two years preceding the target year and the average load for those two years.</a:t>
          </a:r>
        </a:p>
        <a:p>
          <a:r>
            <a:rPr lang="en-US">
              <a:effectLst/>
            </a:rPr>
            <a:t>     (c) The utility's renewable energy target for the target year.</a:t>
          </a:r>
        </a:p>
        <a:p>
          <a:r>
            <a:rPr lang="en-US">
              <a:effectLst/>
            </a:rPr>
            <a:t>     (d) The amount of eligible renewable resources, RECs, and multiplier credits to be applied toward the utility's renewable energy target for the target year. The report must identify, by generating facility or hydroelectric project, including the WREGIS generating unit identification where applicable, and, in the case of RECs, by vintage year:</a:t>
          </a:r>
        </a:p>
        <a:p>
          <a:r>
            <a:rPr lang="en-US">
              <a:effectLst/>
            </a:rPr>
            <a:t>          (i) The eligible renewable resources in megawatt-hours to be applied toward the renewable energy target for the target year;</a:t>
          </a:r>
        </a:p>
        <a:p>
          <a:r>
            <a:rPr lang="en-US">
              <a:effectLst/>
            </a:rPr>
            <a:t>         (ii) The RECs to be applied toward the renewable energy target for the target year;</a:t>
          </a:r>
        </a:p>
        <a:p>
          <a:r>
            <a:rPr lang="en-US">
              <a:effectLst/>
            </a:rPr>
            <a:t>         (iii) Any additional credit for eligible renewable resources or RECs from generating facilities eligible for the apprentice labor provision in RCW </a:t>
          </a:r>
          <a:r>
            <a:rPr lang="en-US">
              <a:effectLst/>
              <a:hlinkClick xmlns:r="http://schemas.openxmlformats.org/officeDocument/2006/relationships" r:id=""/>
            </a:rPr>
            <a:t>19.285.040</a:t>
          </a:r>
          <a:r>
            <a:rPr lang="en-US">
              <a:effectLst/>
            </a:rPr>
            <a:t> (2)(h), applied toward the renewable energy target for the target year;</a:t>
          </a:r>
        </a:p>
        <a:p>
          <a:r>
            <a:rPr lang="en-US">
              <a:effectLst/>
            </a:rPr>
            <a:t>          (iv) Any additional credit for RECs from generating facilities eligible for the distributed generation in RCW </a:t>
          </a:r>
          <a:r>
            <a:rPr lang="en-US">
              <a:effectLst/>
              <a:hlinkClick xmlns:r="http://schemas.openxmlformats.org/officeDocument/2006/relationships" r:id=""/>
            </a:rPr>
            <a:t>19.285.040</a:t>
          </a:r>
          <a:r>
            <a:rPr lang="en-US">
              <a:effectLst/>
            </a:rPr>
            <a:t> (2)(b), applied toward the renewable energy target for the target year.</a:t>
          </a:r>
        </a:p>
        <a:p>
          <a:r>
            <a:rPr lang="en-US">
              <a:effectLst/>
            </a:rPr>
            <a:t>     (e) The percent of its total annual retail revenue requirement invested in the incremental cost of eligible renewable resources and the cost of renewable energy credits. Each utility must include in its report documentation of the calculations and inputs to this amount.</a:t>
          </a:r>
        </a:p>
        <a:p>
          <a:r>
            <a:rPr lang="en-US">
              <a:effectLst/>
            </a:rPr>
            <a:t>     (2) </a:t>
          </a:r>
          <a:r>
            <a:rPr lang="en-US" b="1">
              <a:effectLst/>
            </a:rPr>
            <a:t>Incremental cost compliance method report.</a:t>
          </a:r>
          <a:r>
            <a:rPr lang="en-US">
              <a:effectLst/>
            </a:rPr>
            <a:t> Each utility reporting pursuant to subsection (1)(a) of this section its use of the incremental cost compliance method for the target year must include the following information in its report:</a:t>
          </a:r>
        </a:p>
        <a:p>
          <a:r>
            <a:rPr lang="en-US">
              <a:effectLst/>
            </a:rPr>
            <a:t>     (a) Annual revenue requirement for the target year;</a:t>
          </a:r>
        </a:p>
        <a:p>
          <a:r>
            <a:rPr lang="en-US">
              <a:effectLst/>
            </a:rPr>
            <a:t>     (b) The annual levelized delivered cost of its eligible renewable resource(s) reported separately for each resource;</a:t>
          </a:r>
        </a:p>
        <a:p>
          <a:r>
            <a:rPr lang="en-US">
              <a:effectLst/>
            </a:rPr>
            <a:t>     (c) The annual levelized delivered cost of its substitute resources and the eligible renewable resource with which it is being compared;</a:t>
          </a:r>
        </a:p>
        <a:p>
          <a:r>
            <a:rPr lang="en-US">
              <a:effectLst/>
            </a:rPr>
            <a:t>     (d) The total cost of renewable energy credits to be applied in the reporting year;</a:t>
          </a:r>
        </a:p>
        <a:p>
          <a:r>
            <a:rPr lang="en-US">
              <a:effectLst/>
            </a:rPr>
            <a:t>     (e) The percentage of its annual revenue requirement invested in the incremental cost of eligible renewable resources and the cost of RECs; and</a:t>
          </a:r>
        </a:p>
        <a:p>
          <a:r>
            <a:rPr lang="en-US">
              <a:effectLst/>
            </a:rPr>
            <a:t>     (f) The most current information required by WAC </a:t>
          </a:r>
          <a:r>
            <a:rPr lang="en-US">
              <a:effectLst/>
              <a:hlinkClick xmlns:r="http://schemas.openxmlformats.org/officeDocument/2006/relationships" r:id=""/>
            </a:rPr>
            <a:t>194-37-160</a:t>
          </a:r>
          <a:r>
            <a:rPr lang="en-US">
              <a:effectLst/>
            </a:rPr>
            <a:t> used for this financial demonstration.</a:t>
          </a:r>
        </a:p>
        <a:p>
          <a:r>
            <a:rPr lang="en-US">
              <a:effectLst/>
            </a:rPr>
            <a:t>     (3) </a:t>
          </a:r>
          <a:r>
            <a:rPr lang="en-US" b="1">
              <a:effectLst/>
            </a:rPr>
            <a:t>No-growth cost compliance method report.</a:t>
          </a:r>
          <a:r>
            <a:rPr lang="en-US">
              <a:effectLst/>
            </a:rPr>
            <a:t> Each utility reporting pursuant to subsection (1)(a) of this section its use of the no-growth cost compliance method for the target year must include the following information in its report:</a:t>
          </a:r>
        </a:p>
        <a:p>
          <a:r>
            <a:rPr lang="en-US">
              <a:effectLst/>
            </a:rPr>
            <a:t>     (a) Annual revenue requirement for the target year;</a:t>
          </a:r>
        </a:p>
        <a:p>
          <a:r>
            <a:rPr lang="en-US">
              <a:effectLst/>
            </a:rPr>
            <a:t>     (b) Actual and weather-adjusted load for each year used in determining that the utility's load did not increase;</a:t>
          </a:r>
        </a:p>
        <a:p>
          <a:r>
            <a:rPr lang="en-US">
              <a:effectLst/>
            </a:rPr>
            <a:t>     (c) Delivered cost of its eligible renewable resource(s), RECs or a combination of both for the target year to be applied to the one percent of annual revenue requirement, reported separately for each resource;</a:t>
          </a:r>
        </a:p>
        <a:p>
          <a:r>
            <a:rPr lang="en-US">
              <a:effectLst/>
            </a:rPr>
            <a:t>     (d) Generating facility identification, vintage, quantity and cost of any RECs to be retired as an offset for nonrenewable resource purchases pursuant to RCW </a:t>
          </a:r>
          <a:r>
            <a:rPr lang="en-US">
              <a:effectLst/>
              <a:hlinkClick xmlns:r="http://schemas.openxmlformats.org/officeDocument/2006/relationships" r:id=""/>
            </a:rPr>
            <a:t>19.285.040</a:t>
          </a:r>
          <a:r>
            <a:rPr lang="en-US">
              <a:effectLst/>
            </a:rPr>
            <a:t> (2)(d).</a:t>
          </a:r>
        </a:p>
        <a:p>
          <a:r>
            <a:rPr lang="en-US">
              <a:effectLst/>
            </a:rPr>
            <a:t>     (4) </a:t>
          </a:r>
          <a:r>
            <a:rPr lang="en-US" b="1">
              <a:effectLst/>
            </a:rPr>
            <a:t>Final compliance report.</a:t>
          </a:r>
          <a:r>
            <a:rPr lang="en-US">
              <a:effectLst/>
            </a:rPr>
            <a:t>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For any target year that a utility demonstrates to the auditor that it did not meet the annual renewable resource requirements in chapter </a:t>
          </a:r>
          <a:r>
            <a:rPr lang="en-US">
              <a:effectLst/>
              <a:hlinkClick xmlns:r="http://schemas.openxmlformats.org/officeDocument/2006/relationships" r:id=""/>
            </a:rPr>
            <a:t>19.285</a:t>
          </a:r>
          <a:r>
            <a:rPr lang="en-US">
              <a:effectLst/>
            </a:rPr>
            <a:t> RCW due to events beyond the reasonable control of the utility per RCW </a:t>
          </a:r>
          <a:r>
            <a:rPr lang="en-US">
              <a:effectLst/>
              <a:hlinkClick xmlns:r="http://schemas.openxmlformats.org/officeDocument/2006/relationships" r:id=""/>
            </a:rPr>
            <a:t>19.285.040</a:t>
          </a:r>
          <a:r>
            <a:rPr lang="en-US">
              <a:effectLst/>
            </a:rPr>
            <a:t> (2)(i), the utility must summarize these events in the final compliance report.</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17</xdr:row>
      <xdr:rowOff>361950</xdr:rowOff>
    </xdr:from>
    <xdr:to>
      <xdr:col>8</xdr:col>
      <xdr:colOff>552450</xdr:colOff>
      <xdr:row>24</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35</xdr:row>
      <xdr:rowOff>352425</xdr:rowOff>
    </xdr:from>
    <xdr:to>
      <xdr:col>8</xdr:col>
      <xdr:colOff>695325</xdr:colOff>
      <xdr:row>36</xdr:row>
      <xdr:rowOff>3409950</xdr:rowOff>
    </xdr:to>
    <xdr:sp macro="" textlink="">
      <xdr:nvSpPr>
        <xdr:cNvPr id="2" name="TextBox 1"/>
        <xdr:cNvSpPr txBox="1"/>
      </xdr:nvSpPr>
      <xdr:spPr>
        <a:xfrm>
          <a:off x="38100" y="7639050"/>
          <a:ext cx="8191500" cy="34194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(1) - FINAL</a:t>
          </a:r>
          <a:r>
            <a:rPr lang="en-US" sz="1100" baseline="0"/>
            <a:t> NEEA savings for 2014 came in higher than the estimate provided in the previous EIA report.</a:t>
          </a:r>
        </a:p>
        <a:p>
          <a:r>
            <a:rPr lang="en-US" sz="1100" baseline="0"/>
            <a:t>        ***2015 NEEA savings are estimated until the final numbers are provided by NEEA.</a:t>
          </a:r>
        </a:p>
        <a:p>
          <a:r>
            <a:rPr lang="en-US" sz="1100" baseline="0"/>
            <a:t>        ***Final 2015 NEEA savings will not be available until  December 2016.</a:t>
          </a:r>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95</xdr:row>
      <xdr:rowOff>123825</xdr:rowOff>
    </xdr:from>
    <xdr:to>
      <xdr:col>13</xdr:col>
      <xdr:colOff>657225</xdr:colOff>
      <xdr:row>115</xdr:row>
      <xdr:rowOff>38100</xdr:rowOff>
    </xdr:to>
    <xdr:sp macro="" textlink="">
      <xdr:nvSpPr>
        <xdr:cNvPr id="3" name="TextBox 2"/>
        <xdr:cNvSpPr txBox="1"/>
      </xdr:nvSpPr>
      <xdr:spPr>
        <a:xfrm>
          <a:off x="0" y="19402425"/>
          <a:ext cx="11344275" cy="31527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2016 Renewables</a:t>
          </a:r>
          <a:r>
            <a:rPr lang="en-US" baseline="0"/>
            <a:t> Report includes RECs that have not been deposited into the District's WREGIS account.  </a:t>
          </a:r>
        </a:p>
        <a:p>
          <a:r>
            <a:rPr lang="en-US" b="1" baseline="0"/>
            <a:t>2015 RECs:  </a:t>
          </a:r>
          <a:r>
            <a:rPr lang="en-US" baseline="0"/>
            <a:t>80,401;  </a:t>
          </a:r>
          <a:r>
            <a:rPr lang="en-US" b="1" baseline="0"/>
            <a:t>2016 RECs:  </a:t>
          </a:r>
          <a:r>
            <a:rPr lang="en-US" baseline="0"/>
            <a:t>77,969</a:t>
          </a:r>
          <a:endParaRPr lang="en-US"/>
        </a:p>
      </xdr:txBody>
    </xdr:sp>
    <xdr:clientData/>
  </xdr:twoCellAnchor>
  <xdr:twoCellAnchor>
    <xdr:from>
      <xdr:col>0</xdr:col>
      <xdr:colOff>19051</xdr:colOff>
      <xdr:row>20</xdr:row>
      <xdr:rowOff>152401</xdr:rowOff>
    </xdr:from>
    <xdr:to>
      <xdr:col>14</xdr:col>
      <xdr:colOff>19050</xdr:colOff>
      <xdr:row>33</xdr:row>
      <xdr:rowOff>66675</xdr:rowOff>
    </xdr:to>
    <xdr:sp macro="" textlink="">
      <xdr:nvSpPr>
        <xdr:cNvPr id="4" name="TextBox 3"/>
        <xdr:cNvSpPr txBox="1"/>
      </xdr:nvSpPr>
      <xdr:spPr>
        <a:xfrm>
          <a:off x="19051" y="4333876"/>
          <a:ext cx="1130617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2016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2016 for the purpose of meeting its Energy Independence Act (EIA) renewables target for 2016. The actual resources and RECs used to comply with the 2016 EIA target may vary from those reported here. Utilities will report in June of 2018 on the actual results for 2016.</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2016 target year. Utilities that elect to use a compliance method based on renewable investments must provide additional information demonstrating compliance with that method. Refer to WAC 194-37-110(2) and (3) for specific requirements.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0</xdr:col>
          <xdr:colOff>733425</xdr:colOff>
          <xdr:row>11</xdr:row>
          <xdr:rowOff>123825</xdr:rowOff>
        </xdr:from>
        <xdr:to>
          <xdr:col>3</xdr:col>
          <xdr:colOff>428625</xdr:colOff>
          <xdr:row>15</xdr:row>
          <xdr:rowOff>123825</xdr:rowOff>
        </xdr:to>
        <xdr:grpSp>
          <xdr:nvGrpSpPr>
            <xdr:cNvPr id="2" name="Group 1"/>
            <xdr:cNvGrpSpPr/>
          </xdr:nvGrpSpPr>
          <xdr:grpSpPr>
            <a:xfrm>
              <a:off x="733425" y="2266950"/>
              <a:ext cx="5195888" cy="702469"/>
              <a:chOff x="1362075" y="2266952"/>
              <a:chExt cx="1524000" cy="533402"/>
            </a:xfrm>
          </xdr:grpSpPr>
          <xdr:sp macro="" textlink="">
            <xdr:nvSpPr>
              <xdr:cNvPr id="5453" name="Check Box 333" hidden="1">
                <a:extLst>
                  <a:ext uri="{63B3BB69-23CF-44E3-9099-C40C66FF867C}">
                    <a14:compatExt spid="_x0000_s5453"/>
                  </a:ext>
                </a:extLst>
              </xdr:cNvPr>
              <xdr:cNvSpPr/>
            </xdr:nvSpPr>
            <xdr:spPr>
              <a:xfrm>
                <a:off x="1362075" y="2714629"/>
                <a:ext cx="1524000" cy="8572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sp macro="" textlink="">
            <xdr:nvSpPr>
              <xdr:cNvPr id="5454" name="Check Box 334" hidden="1">
                <a:extLst>
                  <a:ext uri="{63B3BB69-23CF-44E3-9099-C40C66FF867C}">
                    <a14:compatExt spid="_x0000_s5454"/>
                  </a:ext>
                </a:extLst>
              </xdr:cNvPr>
              <xdr:cNvSpPr/>
            </xdr:nvSpPr>
            <xdr:spPr>
              <a:xfrm>
                <a:off x="1362075" y="2447925"/>
                <a:ext cx="1447800" cy="20955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sp macro="" textlink="">
            <xdr:nvSpPr>
              <xdr:cNvPr id="5455" name="Check Box 335" hidden="1">
                <a:extLst>
                  <a:ext uri="{63B3BB69-23CF-44E3-9099-C40C66FF867C}">
                    <a14:compatExt spid="_x0000_s5455"/>
                  </a:ext>
                </a:extLst>
              </xdr:cNvPr>
              <xdr:cNvSpPr/>
            </xdr:nvSpPr>
            <xdr:spPr>
              <a:xfrm>
                <a:off x="1362075" y="2266952"/>
                <a:ext cx="1352550" cy="13335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6</xdr:col>
      <xdr:colOff>85725</xdr:colOff>
      <xdr:row>36</xdr:row>
      <xdr:rowOff>76200</xdr:rowOff>
    </xdr:from>
    <xdr:to>
      <xdr:col>10</xdr:col>
      <xdr:colOff>1066800</xdr:colOff>
      <xdr:row>61</xdr:row>
      <xdr:rowOff>142875</xdr:rowOff>
    </xdr:to>
    <xdr:sp macro="" textlink="">
      <xdr:nvSpPr>
        <xdr:cNvPr id="3" name="TextBox 2"/>
        <xdr:cNvSpPr txBox="1"/>
      </xdr:nvSpPr>
      <xdr:spPr>
        <a:xfrm>
          <a:off x="6276975" y="7343775"/>
          <a:ext cx="4171950" cy="4829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dykesj@bentonpud.org" TargetMode="External"/></Relationships>
</file>

<file path=xl/worksheets/_rels/sheet4.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drawing" Target="../drawings/drawing3.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dykesj@bentonpud.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workbookViewId="0"/>
  </sheetViews>
  <sheetFormatPr defaultRowHeight="15" x14ac:dyDescent="0.25"/>
  <cols>
    <col min="1" max="1" width="135.140625" customWidth="1"/>
    <col min="14" max="14" width="11.7109375" customWidth="1"/>
  </cols>
  <sheetData>
    <row r="1" spans="1:14" ht="18.75" x14ac:dyDescent="0.25">
      <c r="A1" s="68" t="s">
        <v>192</v>
      </c>
    </row>
    <row r="2" spans="1:14" x14ac:dyDescent="0.25">
      <c r="A2" s="69" t="s">
        <v>108</v>
      </c>
    </row>
    <row r="3" spans="1:14" x14ac:dyDescent="0.25">
      <c r="A3" s="68"/>
      <c r="N3" s="43"/>
    </row>
    <row r="4" spans="1:14" x14ac:dyDescent="0.25">
      <c r="A4" s="67" t="s">
        <v>109</v>
      </c>
    </row>
    <row r="5" spans="1:14" x14ac:dyDescent="0.25">
      <c r="A5" s="67" t="s">
        <v>104</v>
      </c>
      <c r="N5">
        <f>IF(REN_Load_2015+REN_Load_2014&gt;0,AVERAGE(REN_Load_2015,REN_Load_2014),0)</f>
        <v>1759671.5</v>
      </c>
    </row>
    <row r="6" spans="1:14" x14ac:dyDescent="0.25">
      <c r="A6" s="67" t="s">
        <v>195</v>
      </c>
    </row>
    <row r="8" spans="1:14" x14ac:dyDescent="0.25">
      <c r="A8" s="70" t="s">
        <v>190</v>
      </c>
    </row>
    <row r="9" spans="1:14" x14ac:dyDescent="0.25">
      <c r="A9" s="71" t="s">
        <v>191</v>
      </c>
    </row>
  </sheetData>
  <sheetProtection sheet="1" objects="1" scenarios="1"/>
  <pageMargins left="0.7" right="0.7" top="0.75" bottom="0.75" header="0.3" footer="0.3"/>
  <pageSetup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A73" sqref="A73"/>
    </sheetView>
  </sheetViews>
  <sheetFormatPr defaultRowHeight="15" x14ac:dyDescent="0.25"/>
  <cols>
    <col min="1" max="1" width="107" customWidth="1"/>
    <col min="14" max="14" width="11.7109375" customWidth="1"/>
  </cols>
  <sheetData>
    <row r="1" spans="1:14" ht="18.75" x14ac:dyDescent="0.25">
      <c r="A1" s="38" t="s">
        <v>110</v>
      </c>
    </row>
    <row r="2" spans="1:14" ht="18.75" x14ac:dyDescent="0.25">
      <c r="A2" s="39"/>
    </row>
    <row r="3" spans="1:14" ht="57" x14ac:dyDescent="0.25">
      <c r="A3" s="40" t="s">
        <v>111</v>
      </c>
      <c r="N3" s="43"/>
    </row>
    <row r="4" spans="1:14" x14ac:dyDescent="0.25">
      <c r="A4" s="40"/>
      <c r="N4" s="43"/>
    </row>
    <row r="5" spans="1:14" ht="72" x14ac:dyDescent="0.25">
      <c r="A5" s="40" t="s">
        <v>112</v>
      </c>
      <c r="N5" s="43"/>
    </row>
    <row r="6" spans="1:14" x14ac:dyDescent="0.25">
      <c r="A6" s="40"/>
    </row>
    <row r="7" spans="1:14" ht="29.25" thickBot="1" x14ac:dyDescent="0.3">
      <c r="A7" s="41" t="s">
        <v>113</v>
      </c>
      <c r="N7">
        <f>IF(REN_Load_2015+REN_Load_2014&gt;0,AVERAGE(REN_Load_2015,REN_Load_2014),0)</f>
        <v>1759671.5</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K56"/>
  <sheetViews>
    <sheetView tabSelected="1" topLeftCell="A7" zoomScaleNormal="100" workbookViewId="0">
      <selection activeCell="F12" sqref="F12"/>
    </sheetView>
  </sheetViews>
  <sheetFormatPr defaultColWidth="9.140625" defaultRowHeight="12.75" x14ac:dyDescent="0.2"/>
  <cols>
    <col min="1" max="2" width="16.7109375" style="85" customWidth="1"/>
    <col min="3" max="3" width="17.140625" style="85" customWidth="1"/>
    <col min="4" max="4" width="16" style="85" customWidth="1"/>
    <col min="5" max="5" width="4.42578125" style="85" customWidth="1"/>
    <col min="6" max="6" width="14.42578125" style="85" customWidth="1"/>
    <col min="7" max="7" width="15.28515625" style="85" customWidth="1"/>
    <col min="8" max="8" width="12.28515625" style="85" customWidth="1"/>
    <col min="9" max="9" width="11.140625" style="85" customWidth="1"/>
    <col min="10" max="10" width="9.140625" style="85"/>
    <col min="11" max="11" width="11.7109375" style="85" customWidth="1"/>
    <col min="12" max="16384" width="9.140625" style="85"/>
  </cols>
  <sheetData>
    <row r="1" spans="1:11" ht="15" x14ac:dyDescent="0.2">
      <c r="A1" s="238" t="s">
        <v>190</v>
      </c>
      <c r="B1" s="238"/>
      <c r="C1" s="238"/>
      <c r="D1" s="238"/>
      <c r="E1" s="238"/>
      <c r="F1" s="238"/>
      <c r="G1" s="238"/>
      <c r="H1" s="238"/>
      <c r="I1" s="238"/>
    </row>
    <row r="2" spans="1:11" ht="15" x14ac:dyDescent="0.2">
      <c r="A2" s="239" t="s">
        <v>191</v>
      </c>
      <c r="B2" s="239"/>
      <c r="C2" s="239"/>
      <c r="D2" s="239"/>
      <c r="E2" s="239"/>
      <c r="F2" s="239"/>
      <c r="G2" s="239"/>
      <c r="H2" s="239"/>
      <c r="I2" s="239"/>
    </row>
    <row r="3" spans="1:11" s="87" customFormat="1" ht="19.5" x14ac:dyDescent="0.4">
      <c r="A3" s="86" t="s">
        <v>114</v>
      </c>
    </row>
    <row r="4" spans="1:11" ht="15" customHeight="1" x14ac:dyDescent="0.2">
      <c r="A4" s="88"/>
    </row>
    <row r="5" spans="1:11" ht="14.25" customHeight="1" thickBot="1" x14ac:dyDescent="0.25">
      <c r="A5" s="89" t="s">
        <v>4</v>
      </c>
      <c r="B5" s="248" t="s">
        <v>196</v>
      </c>
      <c r="C5" s="248"/>
      <c r="D5" s="248"/>
      <c r="F5" s="246" t="s">
        <v>122</v>
      </c>
      <c r="G5" s="246"/>
      <c r="H5" s="246"/>
      <c r="I5" s="246"/>
      <c r="K5" s="90"/>
    </row>
    <row r="6" spans="1:11" ht="15" customHeight="1" x14ac:dyDescent="0.2">
      <c r="A6" s="91" t="s">
        <v>40</v>
      </c>
      <c r="B6" s="229">
        <v>42522</v>
      </c>
      <c r="C6" s="230"/>
      <c r="D6" s="230"/>
      <c r="E6" s="92"/>
      <c r="G6" s="93" t="s">
        <v>117</v>
      </c>
      <c r="H6" s="94"/>
      <c r="I6" s="93" t="s">
        <v>119</v>
      </c>
    </row>
    <row r="7" spans="1:11" ht="15" customHeight="1" x14ac:dyDescent="0.2">
      <c r="A7" s="95" t="s">
        <v>39</v>
      </c>
      <c r="B7" s="231" t="s">
        <v>197</v>
      </c>
      <c r="C7" s="232"/>
      <c r="D7" s="232"/>
      <c r="E7" s="87"/>
      <c r="G7" s="96" t="s">
        <v>118</v>
      </c>
      <c r="I7" s="96" t="s">
        <v>118</v>
      </c>
    </row>
    <row r="8" spans="1:11" ht="15" customHeight="1" thickBot="1" x14ac:dyDescent="0.25">
      <c r="A8" s="95" t="s">
        <v>1</v>
      </c>
      <c r="B8" s="232" t="s">
        <v>198</v>
      </c>
      <c r="C8" s="232"/>
      <c r="D8" s="232"/>
      <c r="E8" s="87"/>
      <c r="F8" s="97" t="s">
        <v>123</v>
      </c>
      <c r="G8" s="98">
        <f>2.71*8760</f>
        <v>23739.599999999999</v>
      </c>
      <c r="H8" s="97" t="s">
        <v>124</v>
      </c>
      <c r="I8" s="99">
        <f>1.97*8760</f>
        <v>17257.2</v>
      </c>
    </row>
    <row r="9" spans="1:11" ht="15" customHeight="1" x14ac:dyDescent="0.2">
      <c r="A9" s="95" t="s">
        <v>2</v>
      </c>
      <c r="B9" s="233" t="s">
        <v>199</v>
      </c>
      <c r="C9" s="234"/>
      <c r="D9" s="234"/>
      <c r="E9" s="87"/>
      <c r="F9" s="97" t="s">
        <v>3</v>
      </c>
      <c r="G9" s="100">
        <f>CON_2014_MWH+CON_2015_MWH</f>
        <v>37960.65972077864</v>
      </c>
    </row>
    <row r="10" spans="1:11" ht="15" customHeight="1" thickBot="1" x14ac:dyDescent="0.25">
      <c r="A10" s="95"/>
      <c r="B10" s="101"/>
      <c r="C10" s="87"/>
      <c r="D10" s="87"/>
      <c r="E10" s="87"/>
      <c r="F10" s="97" t="s">
        <v>193</v>
      </c>
      <c r="G10" s="102">
        <f>G9-G8</f>
        <v>14221.059720778641</v>
      </c>
    </row>
    <row r="11" spans="1:11" s="87" customFormat="1" ht="13.5" thickBot="1" x14ac:dyDescent="0.25">
      <c r="A11" s="247" t="s">
        <v>32</v>
      </c>
      <c r="B11" s="247"/>
      <c r="C11" s="247"/>
      <c r="D11" s="247"/>
      <c r="E11" s="103"/>
      <c r="H11" s="85"/>
      <c r="I11" s="85"/>
    </row>
    <row r="12" spans="1:11" s="87" customFormat="1" x14ac:dyDescent="0.2">
      <c r="A12" s="241" t="s">
        <v>34</v>
      </c>
      <c r="B12" s="241"/>
      <c r="C12" s="245" t="s">
        <v>115</v>
      </c>
      <c r="D12" s="241"/>
      <c r="F12" s="85"/>
      <c r="G12" s="85"/>
      <c r="H12" s="85"/>
      <c r="I12" s="85"/>
    </row>
    <row r="13" spans="1:11" ht="38.25" x14ac:dyDescent="0.2">
      <c r="A13" s="104" t="s">
        <v>36</v>
      </c>
      <c r="B13" s="105" t="s">
        <v>35</v>
      </c>
      <c r="C13" s="105" t="s">
        <v>120</v>
      </c>
      <c r="D13" s="105" t="s">
        <v>121</v>
      </c>
    </row>
    <row r="14" spans="1:11" ht="15" customHeight="1" x14ac:dyDescent="0.2">
      <c r="A14" s="76">
        <v>135868</v>
      </c>
      <c r="B14" s="77">
        <v>23740</v>
      </c>
      <c r="C14" s="76">
        <v>96360</v>
      </c>
      <c r="D14" s="228">
        <v>17257</v>
      </c>
    </row>
    <row r="15" spans="1:11" ht="15" customHeight="1" thickBot="1" x14ac:dyDescent="0.25">
      <c r="A15" s="87"/>
      <c r="B15" s="87"/>
      <c r="C15" s="87"/>
      <c r="D15" s="87"/>
      <c r="E15" s="87"/>
      <c r="F15" s="87"/>
      <c r="G15" s="87"/>
    </row>
    <row r="16" spans="1:11" ht="13.5" thickTop="1" x14ac:dyDescent="0.2">
      <c r="A16" s="242" t="s">
        <v>3</v>
      </c>
      <c r="B16" s="242"/>
      <c r="C16" s="242"/>
      <c r="D16" s="242"/>
      <c r="E16" s="242"/>
      <c r="F16" s="242"/>
      <c r="G16" s="242"/>
    </row>
    <row r="17" spans="1:7" ht="15" customHeight="1" x14ac:dyDescent="0.2">
      <c r="A17" s="106"/>
      <c r="C17" s="241" t="s">
        <v>73</v>
      </c>
      <c r="D17" s="241"/>
      <c r="F17" s="241" t="s">
        <v>116</v>
      </c>
      <c r="G17" s="241"/>
    </row>
    <row r="18" spans="1:7" ht="30.75" customHeight="1" x14ac:dyDescent="0.2">
      <c r="B18" s="107" t="s">
        <v>23</v>
      </c>
      <c r="C18" s="108" t="s">
        <v>6</v>
      </c>
      <c r="D18" s="108" t="s">
        <v>7</v>
      </c>
      <c r="F18" s="108" t="s">
        <v>6</v>
      </c>
      <c r="G18" s="108" t="s">
        <v>7</v>
      </c>
    </row>
    <row r="19" spans="1:7" ht="15" customHeight="1" x14ac:dyDescent="0.2">
      <c r="B19" s="15" t="s">
        <v>8</v>
      </c>
      <c r="C19" s="78">
        <v>5574.3017875000005</v>
      </c>
      <c r="D19" s="213">
        <v>1043692.85</v>
      </c>
      <c r="F19" s="78">
        <v>1940.7665505999998</v>
      </c>
      <c r="G19" s="79">
        <v>664419.97</v>
      </c>
    </row>
    <row r="20" spans="1:7" ht="15" customHeight="1" x14ac:dyDescent="0.2">
      <c r="B20" s="15" t="s">
        <v>9</v>
      </c>
      <c r="C20" s="78">
        <v>1408.3586700000001</v>
      </c>
      <c r="D20" s="79">
        <v>400944.58</v>
      </c>
      <c r="F20" s="78">
        <v>3948.3379100000002</v>
      </c>
      <c r="G20" s="79">
        <v>549022.82000000007</v>
      </c>
    </row>
    <row r="21" spans="1:7" ht="15" customHeight="1" x14ac:dyDescent="0.2">
      <c r="B21" s="15" t="s">
        <v>10</v>
      </c>
      <c r="C21" s="78">
        <v>4483.0633799999996</v>
      </c>
      <c r="D21" s="79">
        <v>470596</v>
      </c>
      <c r="F21" s="78">
        <v>701.04022699999996</v>
      </c>
      <c r="G21" s="79">
        <v>299226.13099999999</v>
      </c>
    </row>
    <row r="22" spans="1:7" ht="15" customHeight="1" x14ac:dyDescent="0.2">
      <c r="B22" s="15" t="s">
        <v>11</v>
      </c>
      <c r="C22" s="78">
        <v>845.98136</v>
      </c>
      <c r="D22" s="79">
        <v>226006.75</v>
      </c>
      <c r="F22" s="78">
        <v>1726.8098356786434</v>
      </c>
      <c r="G22" s="79">
        <v>226006.75</v>
      </c>
    </row>
    <row r="23" spans="1:7" ht="15" customHeight="1" x14ac:dyDescent="0.2">
      <c r="B23" s="15" t="s">
        <v>19</v>
      </c>
      <c r="C23" s="78"/>
      <c r="D23" s="79"/>
      <c r="F23" s="78"/>
      <c r="G23" s="79"/>
    </row>
    <row r="24" spans="1:7" ht="15" customHeight="1" x14ac:dyDescent="0.2">
      <c r="B24" s="109" t="s">
        <v>20</v>
      </c>
      <c r="C24" s="78"/>
      <c r="D24" s="79"/>
      <c r="F24" s="78"/>
      <c r="G24" s="79"/>
    </row>
    <row r="25" spans="1:7" ht="15" customHeight="1" x14ac:dyDescent="0.2">
      <c r="B25" s="109" t="s">
        <v>223</v>
      </c>
      <c r="C25" s="80">
        <v>8573</v>
      </c>
      <c r="D25" s="79"/>
      <c r="F25" s="80">
        <v>8759</v>
      </c>
      <c r="G25" s="79"/>
    </row>
    <row r="26" spans="1:7" ht="15" customHeight="1" x14ac:dyDescent="0.2">
      <c r="B26" s="81"/>
      <c r="C26" s="80"/>
      <c r="D26" s="79"/>
      <c r="F26" s="80"/>
      <c r="G26" s="79"/>
    </row>
    <row r="27" spans="1:7" ht="15" customHeight="1" x14ac:dyDescent="0.2">
      <c r="B27" s="81"/>
      <c r="C27" s="80"/>
      <c r="D27" s="79"/>
      <c r="F27" s="80"/>
      <c r="G27" s="79"/>
    </row>
    <row r="28" spans="1:7" ht="30.75" customHeight="1" x14ac:dyDescent="0.2">
      <c r="A28" s="243" t="s">
        <v>33</v>
      </c>
      <c r="B28" s="244"/>
      <c r="D28" s="110"/>
      <c r="G28" s="110"/>
    </row>
    <row r="29" spans="1:7" ht="15" customHeight="1" x14ac:dyDescent="0.2">
      <c r="B29" s="82"/>
      <c r="C29" s="111"/>
      <c r="D29" s="79"/>
      <c r="F29" s="111"/>
      <c r="G29" s="79"/>
    </row>
    <row r="30" spans="1:7" ht="15" customHeight="1" x14ac:dyDescent="0.2">
      <c r="B30" s="82"/>
      <c r="C30" s="112"/>
      <c r="D30" s="79"/>
      <c r="F30" s="112"/>
      <c r="G30" s="79"/>
    </row>
    <row r="31" spans="1:7" ht="15" customHeight="1" x14ac:dyDescent="0.2">
      <c r="B31" s="113" t="s">
        <v>5</v>
      </c>
      <c r="C31" s="114">
        <f>SUM(C19:C27)</f>
        <v>20884.705197499999</v>
      </c>
      <c r="D31" s="115">
        <f>SUM(D19:D30)</f>
        <v>2141240.1799999997</v>
      </c>
      <c r="F31" s="114">
        <f>SUM(F19:F27)</f>
        <v>17075.95452327864</v>
      </c>
      <c r="G31" s="115">
        <f>SUM(G19:G30)</f>
        <v>1738675.6710000001</v>
      </c>
    </row>
    <row r="32" spans="1:7" ht="15" customHeight="1" x14ac:dyDescent="0.2">
      <c r="A32" s="116"/>
      <c r="B32" s="117"/>
      <c r="C32" s="118"/>
      <c r="D32" s="117"/>
      <c r="E32" s="118"/>
      <c r="G32" s="215"/>
    </row>
    <row r="33" spans="1:9" s="87" customFormat="1" ht="15" customHeight="1" x14ac:dyDescent="0.2">
      <c r="A33" s="89" t="s">
        <v>4</v>
      </c>
      <c r="B33" s="240" t="str">
        <f>CON_Utility_Name</f>
        <v>Public Utility District No. 1 of Benton County</v>
      </c>
      <c r="C33" s="240"/>
      <c r="D33" s="240"/>
      <c r="E33" s="240"/>
      <c r="F33" s="85"/>
      <c r="G33" s="216"/>
    </row>
    <row r="34" spans="1:9" s="87" customFormat="1" x14ac:dyDescent="0.2">
      <c r="A34" s="119" t="s">
        <v>12</v>
      </c>
      <c r="B34" s="236">
        <v>2016</v>
      </c>
      <c r="C34" s="236"/>
      <c r="D34" s="236"/>
      <c r="E34" s="236"/>
    </row>
    <row r="35" spans="1:9" s="87" customFormat="1" x14ac:dyDescent="0.2">
      <c r="A35" s="119"/>
      <c r="B35" s="120"/>
      <c r="C35" s="120"/>
      <c r="D35" s="120"/>
      <c r="E35" s="120"/>
    </row>
    <row r="36" spans="1:9" ht="28.5" customHeight="1" x14ac:dyDescent="0.2">
      <c r="A36" s="235" t="s">
        <v>189</v>
      </c>
      <c r="B36" s="235"/>
      <c r="C36" s="235"/>
      <c r="D36" s="235"/>
      <c r="E36" s="235"/>
      <c r="F36" s="235"/>
      <c r="G36" s="235"/>
      <c r="H36" s="235"/>
      <c r="I36" s="235"/>
    </row>
    <row r="37" spans="1:9" s="74" customFormat="1" ht="270.75" customHeight="1" x14ac:dyDescent="0.2">
      <c r="A37" s="237"/>
      <c r="B37" s="237"/>
      <c r="C37" s="237"/>
      <c r="D37" s="237"/>
      <c r="E37" s="237"/>
      <c r="F37" s="237"/>
      <c r="G37" s="237"/>
      <c r="H37" s="237"/>
      <c r="I37" s="237"/>
    </row>
    <row r="38" spans="1:9" s="74" customFormat="1" x14ac:dyDescent="0.2"/>
    <row r="39" spans="1:9" s="74" customFormat="1" x14ac:dyDescent="0.2"/>
    <row r="40" spans="1:9" s="74" customFormat="1" x14ac:dyDescent="0.2"/>
    <row r="41" spans="1:9" s="74" customFormat="1" x14ac:dyDescent="0.2"/>
    <row r="42" spans="1:9" s="74" customFormat="1" x14ac:dyDescent="0.2"/>
    <row r="43" spans="1:9" s="74" customFormat="1" x14ac:dyDescent="0.2"/>
    <row r="44" spans="1:9" s="74" customFormat="1" x14ac:dyDescent="0.2"/>
    <row r="45" spans="1:9" s="74" customFormat="1" x14ac:dyDescent="0.2"/>
    <row r="46" spans="1:9" s="74" customFormat="1" x14ac:dyDescent="0.2"/>
    <row r="47" spans="1:9" s="74" customFormat="1" x14ac:dyDescent="0.2"/>
    <row r="48" spans="1:9" s="74" customFormat="1" x14ac:dyDescent="0.2"/>
    <row r="49" s="74" customFormat="1" x14ac:dyDescent="0.2"/>
    <row r="50" s="74" customFormat="1" x14ac:dyDescent="0.2"/>
    <row r="51" s="74" customFormat="1" x14ac:dyDescent="0.2"/>
    <row r="52" s="74" customFormat="1" x14ac:dyDescent="0.2"/>
    <row r="53" s="74" customFormat="1" x14ac:dyDescent="0.2"/>
    <row r="54" s="74" customFormat="1" x14ac:dyDescent="0.2"/>
    <row r="55" s="74" customFormat="1" x14ac:dyDescent="0.2"/>
    <row r="56" s="74" customFormat="1" x14ac:dyDescent="0.2"/>
  </sheetData>
  <mergeCells count="20">
    <mergeCell ref="A37:I37"/>
    <mergeCell ref="A1:I1"/>
    <mergeCell ref="A2:I2"/>
    <mergeCell ref="B33:E33"/>
    <mergeCell ref="A12:B12"/>
    <mergeCell ref="F16:G16"/>
    <mergeCell ref="A16:E16"/>
    <mergeCell ref="A28:B28"/>
    <mergeCell ref="C17:D17"/>
    <mergeCell ref="C12:D12"/>
    <mergeCell ref="F17:G17"/>
    <mergeCell ref="F5:I5"/>
    <mergeCell ref="A11:D11"/>
    <mergeCell ref="B5:D5"/>
    <mergeCell ref="B6:D6"/>
    <mergeCell ref="B7:D7"/>
    <mergeCell ref="B8:D8"/>
    <mergeCell ref="B9:D9"/>
    <mergeCell ref="A36:I36"/>
    <mergeCell ref="B34:E34"/>
  </mergeCells>
  <hyperlinks>
    <hyperlink ref="B9" r:id="rId1"/>
  </hyperlinks>
  <pageMargins left="0.7" right="0.7" top="0.75" bottom="0.75" header="0.3" footer="0.3"/>
  <pageSetup scale="98" fitToHeight="0" orientation="landscape" r:id="rId2"/>
  <rowBreaks count="1" manualBreakCount="1">
    <brk id="31"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G116"/>
  <sheetViews>
    <sheetView showGridLines="0" topLeftCell="A43" zoomScale="80" zoomScaleNormal="80" zoomScaleSheetLayoutView="100" workbookViewId="0">
      <selection activeCell="J65" sqref="J65:M66"/>
    </sheetView>
  </sheetViews>
  <sheetFormatPr defaultColWidth="9.140625" defaultRowHeight="12.75" x14ac:dyDescent="0.2"/>
  <cols>
    <col min="1" max="1" width="52.28515625" style="1" customWidth="1"/>
    <col min="2" max="2" width="19.85546875" style="1" customWidth="1"/>
    <col min="3" max="3" width="10.28515625" style="1" customWidth="1"/>
    <col min="4" max="4" width="12.85546875" style="1" customWidth="1"/>
    <col min="5" max="12" width="10.7109375" style="1" customWidth="1"/>
    <col min="13" max="13" width="13" style="1" customWidth="1"/>
    <col min="14" max="14" width="10.7109375" style="1" customWidth="1"/>
    <col min="15" max="15" width="10.5703125" style="1" customWidth="1"/>
    <col min="16" max="16" width="10.7109375" style="1" customWidth="1"/>
    <col min="17" max="16384" width="9.140625" style="1"/>
  </cols>
  <sheetData>
    <row r="1" spans="1:33" ht="15" customHeight="1" x14ac:dyDescent="0.2">
      <c r="A1" s="275" t="s">
        <v>190</v>
      </c>
      <c r="B1" s="275"/>
      <c r="C1" s="275"/>
      <c r="D1" s="275"/>
      <c r="E1" s="275"/>
      <c r="F1" s="275"/>
      <c r="G1" s="275"/>
      <c r="H1" s="275"/>
      <c r="I1" s="275"/>
      <c r="J1" s="275"/>
      <c r="K1" s="275"/>
      <c r="L1" s="275"/>
      <c r="M1" s="275"/>
      <c r="N1" s="275"/>
    </row>
    <row r="2" spans="1:33" ht="15" customHeight="1" x14ac:dyDescent="0.2">
      <c r="A2" s="276" t="s">
        <v>191</v>
      </c>
      <c r="B2" s="276"/>
      <c r="C2" s="276"/>
      <c r="D2" s="276"/>
      <c r="E2" s="276"/>
      <c r="F2" s="276"/>
      <c r="G2" s="276"/>
      <c r="H2" s="276"/>
      <c r="I2" s="276"/>
      <c r="J2" s="276"/>
      <c r="K2" s="276"/>
      <c r="L2" s="276"/>
      <c r="M2" s="276"/>
      <c r="N2" s="276"/>
    </row>
    <row r="3" spans="1:33" s="7" customFormat="1" ht="19.5" x14ac:dyDescent="0.4">
      <c r="A3" s="26" t="s">
        <v>125</v>
      </c>
      <c r="B3" s="26"/>
      <c r="C3" s="26"/>
      <c r="AB3" s="24" t="s">
        <v>26</v>
      </c>
      <c r="AG3" s="21"/>
    </row>
    <row r="4" spans="1:33" ht="14.25" x14ac:dyDescent="0.2">
      <c r="A4" s="45"/>
      <c r="B4" s="45"/>
      <c r="C4" s="45"/>
      <c r="H4" s="264" t="s">
        <v>25</v>
      </c>
      <c r="I4" s="265"/>
      <c r="J4" s="265"/>
      <c r="K4" s="265"/>
      <c r="L4" s="265"/>
      <c r="M4" s="266"/>
      <c r="AB4" s="25" t="s">
        <v>27</v>
      </c>
      <c r="AG4" s="19"/>
    </row>
    <row r="5" spans="1:33" ht="15" customHeight="1" x14ac:dyDescent="0.2">
      <c r="A5" s="3" t="s">
        <v>4</v>
      </c>
      <c r="B5" s="248" t="s">
        <v>196</v>
      </c>
      <c r="C5" s="248"/>
      <c r="D5" s="248"/>
      <c r="H5" s="29"/>
      <c r="I5" s="7"/>
      <c r="J5" s="7"/>
      <c r="K5" s="7"/>
      <c r="L5" s="28" t="s">
        <v>98</v>
      </c>
      <c r="M5" s="205">
        <v>1781322</v>
      </c>
      <c r="AB5" s="25" t="s">
        <v>28</v>
      </c>
      <c r="AG5" s="19"/>
    </row>
    <row r="6" spans="1:33" ht="15" customHeight="1" thickBot="1" x14ac:dyDescent="0.25">
      <c r="A6" s="4" t="s">
        <v>40</v>
      </c>
      <c r="B6" s="229">
        <v>42522</v>
      </c>
      <c r="C6" s="230"/>
      <c r="D6" s="230"/>
      <c r="H6" s="29"/>
      <c r="I6" s="7"/>
      <c r="J6" s="7"/>
      <c r="K6" s="7"/>
      <c r="L6" s="28" t="s">
        <v>130</v>
      </c>
      <c r="M6" s="205">
        <v>1738021</v>
      </c>
      <c r="AB6" s="25" t="s">
        <v>29</v>
      </c>
      <c r="AG6" s="20"/>
    </row>
    <row r="7" spans="1:33" ht="15" customHeight="1" x14ac:dyDescent="0.2">
      <c r="A7" s="5" t="s">
        <v>0</v>
      </c>
      <c r="B7" s="231" t="s">
        <v>197</v>
      </c>
      <c r="C7" s="232"/>
      <c r="D7" s="232"/>
      <c r="H7" s="29"/>
      <c r="I7" s="7"/>
      <c r="J7" s="7"/>
      <c r="K7" s="7"/>
      <c r="L7" s="28" t="s">
        <v>224</v>
      </c>
      <c r="M7" s="206">
        <f>IF(REN_Load_2015+REN_Load_2014&gt;0,AVERAGE(REN_Load_2015,REN_Load_2014),0)</f>
        <v>1759671.5</v>
      </c>
    </row>
    <row r="8" spans="1:33" ht="15" customHeight="1" x14ac:dyDescent="0.2">
      <c r="A8" s="5" t="s">
        <v>1</v>
      </c>
      <c r="B8" s="232" t="s">
        <v>198</v>
      </c>
      <c r="C8" s="232"/>
      <c r="D8" s="232"/>
      <c r="H8" s="29"/>
      <c r="I8" s="7"/>
      <c r="J8" s="7"/>
      <c r="K8" s="7"/>
      <c r="L8" s="28" t="s">
        <v>131</v>
      </c>
      <c r="M8" s="169">
        <v>0.09</v>
      </c>
    </row>
    <row r="9" spans="1:33" ht="15" customHeight="1" x14ac:dyDescent="0.2">
      <c r="A9" s="5" t="s">
        <v>2</v>
      </c>
      <c r="B9" s="233" t="s">
        <v>199</v>
      </c>
      <c r="C9" s="234"/>
      <c r="D9" s="234"/>
      <c r="H9" s="33"/>
      <c r="I9" s="7"/>
      <c r="J9" s="7"/>
      <c r="K9" s="7"/>
      <c r="L9" s="28" t="s">
        <v>139</v>
      </c>
      <c r="M9" s="206">
        <f>ROUND(M7*M8,0)</f>
        <v>158370</v>
      </c>
    </row>
    <row r="10" spans="1:33" ht="15" customHeight="1" x14ac:dyDescent="0.2">
      <c r="A10" s="5"/>
      <c r="B10" s="5"/>
      <c r="C10" s="5"/>
      <c r="D10" s="18"/>
      <c r="H10" s="30"/>
      <c r="I10" s="31"/>
      <c r="J10" s="31"/>
      <c r="K10" s="31"/>
      <c r="L10" s="32" t="s">
        <v>132</v>
      </c>
      <c r="M10" s="214">
        <f>SUM(C20:N20)</f>
        <v>158370</v>
      </c>
    </row>
    <row r="11" spans="1:33" ht="15" customHeight="1" x14ac:dyDescent="0.2">
      <c r="A11" s="3" t="s">
        <v>126</v>
      </c>
      <c r="B11" s="42"/>
      <c r="C11" s="42"/>
    </row>
    <row r="12" spans="1:33" ht="15" customHeight="1" x14ac:dyDescent="0.2">
      <c r="B12" s="45"/>
      <c r="C12" s="45"/>
      <c r="F12" s="267" t="s">
        <v>137</v>
      </c>
      <c r="G12" s="268"/>
      <c r="H12" s="268"/>
      <c r="I12" s="268"/>
      <c r="J12" s="268"/>
      <c r="K12" s="268"/>
      <c r="L12" s="268"/>
      <c r="M12" s="269"/>
    </row>
    <row r="13" spans="1:33" s="22" customFormat="1" ht="14.25" customHeight="1" x14ac:dyDescent="0.25">
      <c r="A13" s="1"/>
      <c r="B13" s="23"/>
      <c r="C13" s="23"/>
      <c r="F13" s="29" t="s">
        <v>71</v>
      </c>
      <c r="G13" s="36"/>
      <c r="H13" s="36"/>
      <c r="I13" s="36"/>
      <c r="J13" s="36"/>
      <c r="K13" s="36"/>
      <c r="L13" s="7"/>
      <c r="M13" s="44">
        <f>'Renewable Cost Report'!K30+'Renewable Cost Report'!E62</f>
        <v>3447734</v>
      </c>
    </row>
    <row r="14" spans="1:33" x14ac:dyDescent="0.2">
      <c r="B14" s="45"/>
      <c r="C14" s="45"/>
      <c r="F14" s="29" t="s">
        <v>138</v>
      </c>
      <c r="G14" s="34"/>
      <c r="H14" s="34"/>
      <c r="I14" s="34"/>
      <c r="J14" s="34"/>
      <c r="K14" s="7"/>
      <c r="L14" s="7"/>
      <c r="M14" s="121">
        <v>122406224</v>
      </c>
    </row>
    <row r="15" spans="1:33" x14ac:dyDescent="0.2">
      <c r="F15" s="37" t="s">
        <v>72</v>
      </c>
      <c r="G15" s="35"/>
      <c r="H15" s="35"/>
      <c r="I15" s="35"/>
      <c r="J15" s="35"/>
      <c r="K15" s="31"/>
      <c r="L15" s="31"/>
      <c r="M15" s="227">
        <f>IF(REN_RetailRevenueRequirement_2016&gt;0,REN_Expenditure_Amount_2016/REN_RetailRevenueRequirement_2016,"")</f>
        <v>2.8166329189273906E-2</v>
      </c>
    </row>
    <row r="16" spans="1:33" ht="17.45" customHeight="1" x14ac:dyDescent="0.2">
      <c r="H16" s="274"/>
      <c r="I16" s="274"/>
      <c r="J16" s="274"/>
      <c r="K16" s="274"/>
      <c r="L16" s="274"/>
      <c r="M16" s="16"/>
      <c r="N16" s="11"/>
      <c r="O16" s="11"/>
    </row>
    <row r="17" spans="1:33" ht="36" customHeight="1" x14ac:dyDescent="0.2">
      <c r="A17" s="9"/>
      <c r="C17" s="51" t="s">
        <v>13</v>
      </c>
      <c r="D17" s="52" t="s">
        <v>14</v>
      </c>
      <c r="E17" s="52" t="s">
        <v>171</v>
      </c>
      <c r="F17" s="52" t="s">
        <v>172</v>
      </c>
      <c r="G17" s="52" t="s">
        <v>15</v>
      </c>
      <c r="H17" s="52" t="s">
        <v>22</v>
      </c>
      <c r="I17" s="52" t="s">
        <v>16</v>
      </c>
      <c r="J17" s="52" t="s">
        <v>170</v>
      </c>
      <c r="K17" s="52" t="s">
        <v>174</v>
      </c>
      <c r="L17" s="59" t="s">
        <v>175</v>
      </c>
      <c r="M17" s="51" t="s">
        <v>183</v>
      </c>
      <c r="N17" s="53" t="s">
        <v>184</v>
      </c>
      <c r="O17" s="11"/>
    </row>
    <row r="18" spans="1:33" ht="15" customHeight="1" x14ac:dyDescent="0.2">
      <c r="B18" s="4" t="s">
        <v>24</v>
      </c>
      <c r="C18" s="54">
        <f t="shared" ref="C18:L18" si="0">SUMIF($C40:$C60,C$17,$E40:$E60)</f>
        <v>0</v>
      </c>
      <c r="D18" s="48">
        <f t="shared" si="0"/>
        <v>94829</v>
      </c>
      <c r="E18" s="48">
        <f t="shared" si="0"/>
        <v>0</v>
      </c>
      <c r="F18" s="48">
        <f t="shared" si="0"/>
        <v>0</v>
      </c>
      <c r="G18" s="48">
        <f t="shared" si="0"/>
        <v>0</v>
      </c>
      <c r="H18" s="48">
        <f t="shared" si="0"/>
        <v>0</v>
      </c>
      <c r="I18" s="48">
        <f t="shared" si="0"/>
        <v>0</v>
      </c>
      <c r="J18" s="48">
        <f t="shared" si="0"/>
        <v>0</v>
      </c>
      <c r="K18" s="48">
        <f t="shared" si="0"/>
        <v>0</v>
      </c>
      <c r="L18" s="60">
        <f t="shared" si="0"/>
        <v>0</v>
      </c>
      <c r="M18" s="54">
        <f>SUM(F40:F60)</f>
        <v>0</v>
      </c>
      <c r="N18" s="55"/>
      <c r="O18" s="73"/>
    </row>
    <row r="19" spans="1:33" ht="16.5" customHeight="1" x14ac:dyDescent="0.2">
      <c r="B19" s="4" t="s">
        <v>17</v>
      </c>
      <c r="C19" s="56"/>
      <c r="D19" s="49">
        <f t="shared" ref="D19:L19" si="1">SUMIF($D67:$D91,D$17,$G67:$G91)</f>
        <v>27573</v>
      </c>
      <c r="E19" s="49">
        <f t="shared" si="1"/>
        <v>0</v>
      </c>
      <c r="F19" s="49">
        <f t="shared" si="1"/>
        <v>0</v>
      </c>
      <c r="G19" s="49">
        <f t="shared" si="1"/>
        <v>17984</v>
      </c>
      <c r="H19" s="49">
        <f t="shared" si="1"/>
        <v>0</v>
      </c>
      <c r="I19" s="49">
        <f t="shared" si="1"/>
        <v>0</v>
      </c>
      <c r="J19" s="49">
        <f t="shared" si="1"/>
        <v>0</v>
      </c>
      <c r="K19" s="49">
        <f t="shared" si="1"/>
        <v>0</v>
      </c>
      <c r="L19" s="61">
        <f t="shared" si="1"/>
        <v>0</v>
      </c>
      <c r="M19" s="62">
        <f>SUM(H67:H91)</f>
        <v>0</v>
      </c>
      <c r="N19" s="57">
        <f>SUM(I67:I91)</f>
        <v>17984</v>
      </c>
      <c r="O19" s="11"/>
    </row>
    <row r="20" spans="1:33" ht="16.5" customHeight="1" x14ac:dyDescent="0.2">
      <c r="B20" s="5" t="s">
        <v>129</v>
      </c>
      <c r="C20" s="58">
        <f>C18</f>
        <v>0</v>
      </c>
      <c r="D20" s="50">
        <f t="shared" ref="D20:L20" si="2">D18+D19</f>
        <v>122402</v>
      </c>
      <c r="E20" s="50">
        <f t="shared" si="2"/>
        <v>0</v>
      </c>
      <c r="F20" s="50">
        <f t="shared" si="2"/>
        <v>0</v>
      </c>
      <c r="G20" s="50">
        <f t="shared" si="2"/>
        <v>17984</v>
      </c>
      <c r="H20" s="50">
        <f t="shared" si="2"/>
        <v>0</v>
      </c>
      <c r="I20" s="50">
        <f t="shared" si="2"/>
        <v>0</v>
      </c>
      <c r="J20" s="50">
        <f t="shared" si="2"/>
        <v>0</v>
      </c>
      <c r="K20" s="50">
        <f t="shared" si="2"/>
        <v>0</v>
      </c>
      <c r="L20" s="50">
        <f t="shared" si="2"/>
        <v>0</v>
      </c>
      <c r="M20" s="58">
        <f>M18+M19</f>
        <v>0</v>
      </c>
      <c r="N20" s="57">
        <f>N19</f>
        <v>17984</v>
      </c>
      <c r="O20" s="11"/>
    </row>
    <row r="21" spans="1:33" ht="16.5" customHeight="1" x14ac:dyDescent="0.2">
      <c r="K21" s="7"/>
      <c r="L21" s="4"/>
      <c r="M21" s="17"/>
      <c r="N21" s="11"/>
      <c r="O21" s="11"/>
    </row>
    <row r="22" spans="1:33" ht="21.75" customHeight="1" x14ac:dyDescent="0.2">
      <c r="K22" s="7"/>
      <c r="L22" s="4"/>
      <c r="M22" s="17"/>
      <c r="N22" s="11"/>
      <c r="O22" s="11"/>
    </row>
    <row r="23" spans="1:33" ht="15" customHeight="1" x14ac:dyDescent="0.2">
      <c r="A23" s="28"/>
      <c r="B23" s="28"/>
      <c r="C23" s="28"/>
      <c r="D23" s="28"/>
      <c r="E23" s="28"/>
      <c r="F23" s="28"/>
      <c r="H23" s="7"/>
      <c r="I23" s="7"/>
      <c r="J23" s="7"/>
      <c r="K23" s="7"/>
      <c r="L23" s="4"/>
      <c r="M23" s="17"/>
      <c r="N23" s="11"/>
      <c r="O23" s="11"/>
    </row>
    <row r="24" spans="1:33" ht="15" customHeight="1" x14ac:dyDescent="0.2"/>
    <row r="25" spans="1:33" s="10" customFormat="1" x14ac:dyDescent="0.2">
      <c r="AG25" s="1"/>
    </row>
    <row r="26" spans="1:33" ht="15" customHeight="1" x14ac:dyDescent="0.2">
      <c r="AG26" s="10"/>
    </row>
    <row r="27" spans="1:33" ht="15" customHeight="1" x14ac:dyDescent="0.2">
      <c r="AG27" s="10"/>
    </row>
    <row r="28" spans="1:33" ht="15" customHeight="1" x14ac:dyDescent="0.2">
      <c r="AG28" s="10"/>
    </row>
    <row r="29" spans="1:33" ht="15" customHeight="1" x14ac:dyDescent="0.2">
      <c r="AG29" s="10"/>
    </row>
    <row r="30" spans="1:33" ht="15" customHeight="1" x14ac:dyDescent="0.2">
      <c r="AG30" s="10"/>
    </row>
    <row r="31" spans="1:33" ht="15" customHeight="1" x14ac:dyDescent="0.2">
      <c r="AG31" s="10"/>
    </row>
    <row r="32" spans="1:33" ht="15" customHeight="1" x14ac:dyDescent="0.2">
      <c r="AG32" s="10"/>
    </row>
    <row r="33" spans="1:33" ht="15" customHeight="1" x14ac:dyDescent="0.2"/>
    <row r="34" spans="1:33" ht="15" customHeight="1" x14ac:dyDescent="0.2"/>
    <row r="35" spans="1:33" ht="15" customHeight="1" x14ac:dyDescent="0.2"/>
    <row r="36" spans="1:33" ht="16.5" customHeight="1" x14ac:dyDescent="0.2">
      <c r="A36" s="255" t="s">
        <v>21</v>
      </c>
      <c r="B36" s="6"/>
      <c r="C36" s="6"/>
      <c r="D36" s="9" t="s">
        <v>4</v>
      </c>
      <c r="E36" s="249" t="str">
        <f>B5</f>
        <v>Public Utility District No. 1 of Benton County</v>
      </c>
      <c r="F36" s="250"/>
      <c r="G36" s="251"/>
    </row>
    <row r="37" spans="1:33" ht="15" customHeight="1" x14ac:dyDescent="0.2">
      <c r="A37" s="255"/>
      <c r="D37" s="9" t="s">
        <v>12</v>
      </c>
      <c r="E37" s="252">
        <v>2016</v>
      </c>
      <c r="F37" s="253"/>
      <c r="G37" s="254"/>
    </row>
    <row r="38" spans="1:33" ht="15" customHeight="1" x14ac:dyDescent="0.2">
      <c r="D38" s="9"/>
      <c r="E38" s="42"/>
      <c r="F38" s="8"/>
      <c r="G38" s="8"/>
    </row>
    <row r="39" spans="1:33" s="10" customFormat="1" ht="52.5" customHeight="1" x14ac:dyDescent="0.2">
      <c r="A39" s="27" t="s">
        <v>18</v>
      </c>
      <c r="B39" s="63" t="s">
        <v>30</v>
      </c>
      <c r="C39" s="46" t="s">
        <v>173</v>
      </c>
      <c r="D39" s="64" t="s">
        <v>176</v>
      </c>
      <c r="E39" s="46" t="s">
        <v>188</v>
      </c>
      <c r="F39" s="46" t="s">
        <v>187</v>
      </c>
      <c r="G39" s="263" t="s">
        <v>182</v>
      </c>
      <c r="H39" s="263"/>
      <c r="I39" s="263"/>
      <c r="J39" s="263"/>
      <c r="K39" s="263"/>
      <c r="L39" s="14"/>
      <c r="M39" s="14"/>
      <c r="N39" s="14"/>
      <c r="AG39" s="7"/>
    </row>
    <row r="40" spans="1:33" ht="15" customHeight="1" x14ac:dyDescent="0.2">
      <c r="A40" s="124" t="s">
        <v>205</v>
      </c>
      <c r="B40" s="211" t="s">
        <v>214</v>
      </c>
      <c r="C40" s="200" t="s">
        <v>14</v>
      </c>
      <c r="D40" s="78" t="s">
        <v>177</v>
      </c>
      <c r="E40" s="123">
        <v>15175</v>
      </c>
      <c r="F40" s="48">
        <f>IF(D40="Yes",0.2*E40,0)</f>
        <v>0</v>
      </c>
      <c r="G40" s="277" t="s">
        <v>222</v>
      </c>
      <c r="H40" s="278"/>
      <c r="I40" s="278"/>
      <c r="J40" s="278"/>
      <c r="K40" s="279"/>
      <c r="L40" s="14"/>
      <c r="M40" s="14"/>
      <c r="N40" s="14"/>
    </row>
    <row r="41" spans="1:33" ht="15" customHeight="1" x14ac:dyDescent="0.2">
      <c r="A41" s="210" t="s">
        <v>206</v>
      </c>
      <c r="B41" s="211" t="s">
        <v>215</v>
      </c>
      <c r="C41" s="201" t="s">
        <v>14</v>
      </c>
      <c r="D41" s="78" t="s">
        <v>177</v>
      </c>
      <c r="E41" s="125">
        <v>27041</v>
      </c>
      <c r="F41" s="65">
        <f t="shared" ref="F41:F60" si="3">IF(D41="Yes",0.2*E41,0)</f>
        <v>0</v>
      </c>
      <c r="G41" s="260" t="s">
        <v>222</v>
      </c>
      <c r="H41" s="261"/>
      <c r="I41" s="261"/>
      <c r="J41" s="261"/>
      <c r="K41" s="262"/>
      <c r="L41" s="14"/>
      <c r="M41" s="14"/>
      <c r="N41" s="14"/>
    </row>
    <row r="42" spans="1:33" ht="15" customHeight="1" x14ac:dyDescent="0.2">
      <c r="A42" s="210" t="s">
        <v>208</v>
      </c>
      <c r="B42" s="211" t="s">
        <v>217</v>
      </c>
      <c r="C42" s="201" t="s">
        <v>14</v>
      </c>
      <c r="D42" s="219" t="s">
        <v>177</v>
      </c>
      <c r="E42" s="125">
        <v>42557</v>
      </c>
      <c r="F42" s="65">
        <f t="shared" si="3"/>
        <v>0</v>
      </c>
      <c r="G42" s="131" t="s">
        <v>222</v>
      </c>
      <c r="H42" s="132"/>
      <c r="I42" s="132"/>
      <c r="J42" s="132"/>
      <c r="K42" s="133"/>
      <c r="L42" s="14"/>
      <c r="M42" s="14"/>
      <c r="N42" s="14"/>
    </row>
    <row r="43" spans="1:33" ht="15" customHeight="1" x14ac:dyDescent="0.2">
      <c r="A43" s="220" t="s">
        <v>200</v>
      </c>
      <c r="B43" s="221" t="s">
        <v>209</v>
      </c>
      <c r="C43" s="222" t="s">
        <v>14</v>
      </c>
      <c r="D43" s="223" t="s">
        <v>177</v>
      </c>
      <c r="E43" s="224">
        <v>1155</v>
      </c>
      <c r="F43" s="65">
        <f t="shared" si="3"/>
        <v>0</v>
      </c>
      <c r="G43" s="260"/>
      <c r="H43" s="261"/>
      <c r="I43" s="261"/>
      <c r="J43" s="261"/>
      <c r="K43" s="262"/>
      <c r="L43" s="14"/>
      <c r="M43" s="14"/>
      <c r="N43" s="14"/>
    </row>
    <row r="44" spans="1:33" ht="15" customHeight="1" x14ac:dyDescent="0.2">
      <c r="A44" s="124" t="s">
        <v>201</v>
      </c>
      <c r="B44" s="201" t="s">
        <v>210</v>
      </c>
      <c r="C44" s="201" t="s">
        <v>14</v>
      </c>
      <c r="D44" s="78" t="s">
        <v>177</v>
      </c>
      <c r="E44" s="125">
        <v>1006</v>
      </c>
      <c r="F44" s="65">
        <f t="shared" si="3"/>
        <v>0</v>
      </c>
      <c r="G44" s="260"/>
      <c r="H44" s="261"/>
      <c r="I44" s="261"/>
      <c r="J44" s="261"/>
      <c r="K44" s="262"/>
      <c r="L44" s="14"/>
      <c r="M44" s="14"/>
      <c r="N44" s="14"/>
    </row>
    <row r="45" spans="1:33" ht="15" customHeight="1" x14ac:dyDescent="0.2">
      <c r="A45" s="124" t="s">
        <v>202</v>
      </c>
      <c r="B45" s="201" t="s">
        <v>211</v>
      </c>
      <c r="C45" s="211" t="s">
        <v>14</v>
      </c>
      <c r="D45" s="78" t="s">
        <v>177</v>
      </c>
      <c r="E45" s="125">
        <v>3818</v>
      </c>
      <c r="F45" s="65">
        <f t="shared" si="3"/>
        <v>0</v>
      </c>
      <c r="G45" s="260"/>
      <c r="H45" s="261"/>
      <c r="I45" s="261"/>
      <c r="J45" s="261"/>
      <c r="K45" s="262"/>
      <c r="L45" s="14"/>
      <c r="M45" s="14"/>
      <c r="N45" s="14"/>
    </row>
    <row r="46" spans="1:33" ht="15" customHeight="1" x14ac:dyDescent="0.2">
      <c r="A46" s="210" t="s">
        <v>203</v>
      </c>
      <c r="B46" s="202" t="s">
        <v>212</v>
      </c>
      <c r="C46" s="211" t="s">
        <v>14</v>
      </c>
      <c r="D46" s="78" t="s">
        <v>177</v>
      </c>
      <c r="E46" s="125">
        <v>2737</v>
      </c>
      <c r="F46" s="65">
        <f t="shared" si="3"/>
        <v>0</v>
      </c>
      <c r="G46" s="260"/>
      <c r="H46" s="261"/>
      <c r="I46" s="261"/>
      <c r="J46" s="261"/>
      <c r="K46" s="262"/>
      <c r="L46" s="14"/>
      <c r="M46" s="14"/>
      <c r="N46" s="14"/>
    </row>
    <row r="47" spans="1:33" ht="15" customHeight="1" x14ac:dyDescent="0.2">
      <c r="A47" s="210" t="s">
        <v>204</v>
      </c>
      <c r="B47" s="201" t="s">
        <v>213</v>
      </c>
      <c r="C47" s="211" t="s">
        <v>14</v>
      </c>
      <c r="D47" s="78" t="s">
        <v>177</v>
      </c>
      <c r="E47" s="125">
        <v>1340</v>
      </c>
      <c r="F47" s="65">
        <f t="shared" si="3"/>
        <v>0</v>
      </c>
      <c r="G47" s="260"/>
      <c r="H47" s="261"/>
      <c r="I47" s="261"/>
      <c r="J47" s="261"/>
      <c r="K47" s="262"/>
      <c r="L47" s="14"/>
      <c r="M47" s="14"/>
      <c r="N47" s="14"/>
    </row>
    <row r="48" spans="1:33" ht="15" customHeight="1" x14ac:dyDescent="0.2">
      <c r="A48" s="210"/>
      <c r="B48" s="211"/>
      <c r="C48" s="211"/>
      <c r="D48" s="78" t="s">
        <v>177</v>
      </c>
      <c r="E48" s="125"/>
      <c r="F48" s="65"/>
      <c r="G48" s="260"/>
      <c r="H48" s="261"/>
      <c r="I48" s="261"/>
      <c r="J48" s="261"/>
      <c r="K48" s="262"/>
      <c r="L48" s="14"/>
      <c r="M48" s="14"/>
      <c r="N48" s="14"/>
    </row>
    <row r="49" spans="1:14" ht="15" customHeight="1" x14ac:dyDescent="0.2">
      <c r="A49" s="126"/>
      <c r="B49" s="127"/>
      <c r="C49" s="203"/>
      <c r="D49" s="78" t="s">
        <v>177</v>
      </c>
      <c r="E49" s="125"/>
      <c r="F49" s="65">
        <f t="shared" si="3"/>
        <v>0</v>
      </c>
      <c r="G49" s="260"/>
      <c r="H49" s="261"/>
      <c r="I49" s="261"/>
      <c r="J49" s="261"/>
      <c r="K49" s="262"/>
      <c r="L49" s="14"/>
      <c r="M49" s="14"/>
      <c r="N49" s="14"/>
    </row>
    <row r="50" spans="1:14" ht="15" customHeight="1" x14ac:dyDescent="0.2">
      <c r="A50" s="126"/>
      <c r="B50" s="127"/>
      <c r="C50" s="203"/>
      <c r="D50" s="78" t="s">
        <v>177</v>
      </c>
      <c r="E50" s="125"/>
      <c r="F50" s="65">
        <f t="shared" si="3"/>
        <v>0</v>
      </c>
      <c r="G50" s="260"/>
      <c r="H50" s="261"/>
      <c r="I50" s="261"/>
      <c r="J50" s="261"/>
      <c r="K50" s="262"/>
      <c r="L50" s="14"/>
      <c r="M50" s="14"/>
      <c r="N50" s="14"/>
    </row>
    <row r="51" spans="1:14" ht="15" customHeight="1" x14ac:dyDescent="0.2">
      <c r="A51" s="126"/>
      <c r="B51" s="127"/>
      <c r="C51" s="203"/>
      <c r="D51" s="78" t="s">
        <v>177</v>
      </c>
      <c r="E51" s="125"/>
      <c r="F51" s="65">
        <f t="shared" si="3"/>
        <v>0</v>
      </c>
      <c r="G51" s="260"/>
      <c r="H51" s="261"/>
      <c r="I51" s="261"/>
      <c r="J51" s="261"/>
      <c r="K51" s="262"/>
      <c r="L51" s="14"/>
      <c r="M51" s="14"/>
      <c r="N51" s="14"/>
    </row>
    <row r="52" spans="1:14" ht="15" customHeight="1" x14ac:dyDescent="0.2">
      <c r="A52" s="126"/>
      <c r="B52" s="127"/>
      <c r="C52" s="203"/>
      <c r="D52" s="78" t="s">
        <v>177</v>
      </c>
      <c r="E52" s="125"/>
      <c r="F52" s="65">
        <f t="shared" si="3"/>
        <v>0</v>
      </c>
      <c r="G52" s="260"/>
      <c r="H52" s="261"/>
      <c r="I52" s="261"/>
      <c r="J52" s="261"/>
      <c r="K52" s="262"/>
      <c r="L52" s="14"/>
      <c r="M52" s="14"/>
      <c r="N52" s="14"/>
    </row>
    <row r="53" spans="1:14" ht="15" customHeight="1" x14ac:dyDescent="0.2">
      <c r="A53" s="126"/>
      <c r="B53" s="127"/>
      <c r="C53" s="203"/>
      <c r="D53" s="78" t="s">
        <v>177</v>
      </c>
      <c r="E53" s="125"/>
      <c r="F53" s="65">
        <f t="shared" si="3"/>
        <v>0</v>
      </c>
      <c r="G53" s="260"/>
      <c r="H53" s="261"/>
      <c r="I53" s="261"/>
      <c r="J53" s="261"/>
      <c r="K53" s="262"/>
      <c r="L53" s="14"/>
      <c r="M53" s="14"/>
      <c r="N53" s="14"/>
    </row>
    <row r="54" spans="1:14" ht="15" customHeight="1" x14ac:dyDescent="0.2">
      <c r="A54" s="126"/>
      <c r="B54" s="127"/>
      <c r="C54" s="203"/>
      <c r="D54" s="78" t="s">
        <v>177</v>
      </c>
      <c r="E54" s="125"/>
      <c r="F54" s="65">
        <f t="shared" si="3"/>
        <v>0</v>
      </c>
      <c r="G54" s="260"/>
      <c r="H54" s="261"/>
      <c r="I54" s="261"/>
      <c r="J54" s="261"/>
      <c r="K54" s="262"/>
      <c r="L54" s="14"/>
      <c r="M54" s="14"/>
      <c r="N54" s="14"/>
    </row>
    <row r="55" spans="1:14" ht="15" customHeight="1" x14ac:dyDescent="0.2">
      <c r="A55" s="126"/>
      <c r="B55" s="127"/>
      <c r="C55" s="203"/>
      <c r="D55" s="78" t="s">
        <v>177</v>
      </c>
      <c r="E55" s="125"/>
      <c r="F55" s="65">
        <f t="shared" si="3"/>
        <v>0</v>
      </c>
      <c r="G55" s="260"/>
      <c r="H55" s="261"/>
      <c r="I55" s="261"/>
      <c r="J55" s="261"/>
      <c r="K55" s="262"/>
      <c r="L55" s="14"/>
      <c r="M55" s="14"/>
      <c r="N55" s="14"/>
    </row>
    <row r="56" spans="1:14" ht="15" customHeight="1" x14ac:dyDescent="0.2">
      <c r="A56" s="126"/>
      <c r="B56" s="127"/>
      <c r="C56" s="203"/>
      <c r="D56" s="78" t="s">
        <v>177</v>
      </c>
      <c r="E56" s="125"/>
      <c r="F56" s="65">
        <f t="shared" si="3"/>
        <v>0</v>
      </c>
      <c r="G56" s="260"/>
      <c r="H56" s="261"/>
      <c r="I56" s="261"/>
      <c r="J56" s="261"/>
      <c r="K56" s="262"/>
      <c r="L56" s="14"/>
      <c r="M56" s="14"/>
      <c r="N56" s="14"/>
    </row>
    <row r="57" spans="1:14" ht="15" customHeight="1" x14ac:dyDescent="0.2">
      <c r="A57" s="126"/>
      <c r="B57" s="127"/>
      <c r="C57" s="203"/>
      <c r="D57" s="78" t="s">
        <v>177</v>
      </c>
      <c r="E57" s="125"/>
      <c r="F57" s="65">
        <f t="shared" si="3"/>
        <v>0</v>
      </c>
      <c r="G57" s="260"/>
      <c r="H57" s="261"/>
      <c r="I57" s="261"/>
      <c r="J57" s="261"/>
      <c r="K57" s="262"/>
      <c r="L57" s="14"/>
      <c r="M57" s="14"/>
      <c r="N57" s="14"/>
    </row>
    <row r="58" spans="1:14" ht="15" customHeight="1" x14ac:dyDescent="0.2">
      <c r="A58" s="126"/>
      <c r="B58" s="127"/>
      <c r="C58" s="203"/>
      <c r="D58" s="78" t="s">
        <v>177</v>
      </c>
      <c r="E58" s="125"/>
      <c r="F58" s="65">
        <f t="shared" si="3"/>
        <v>0</v>
      </c>
      <c r="G58" s="260"/>
      <c r="H58" s="261"/>
      <c r="I58" s="261"/>
      <c r="J58" s="261"/>
      <c r="K58" s="262"/>
      <c r="L58" s="14"/>
      <c r="M58" s="14"/>
      <c r="N58" s="14"/>
    </row>
    <row r="59" spans="1:14" ht="15" customHeight="1" x14ac:dyDescent="0.2">
      <c r="A59" s="126"/>
      <c r="B59" s="127"/>
      <c r="C59" s="203"/>
      <c r="D59" s="78" t="s">
        <v>177</v>
      </c>
      <c r="E59" s="125"/>
      <c r="F59" s="65">
        <f t="shared" si="3"/>
        <v>0</v>
      </c>
      <c r="G59" s="260"/>
      <c r="H59" s="261"/>
      <c r="I59" s="261"/>
      <c r="J59" s="261"/>
      <c r="K59" s="262"/>
      <c r="L59" s="14"/>
      <c r="M59" s="14"/>
      <c r="N59" s="14"/>
    </row>
    <row r="60" spans="1:14" ht="15" customHeight="1" x14ac:dyDescent="0.2">
      <c r="A60" s="128"/>
      <c r="B60" s="129"/>
      <c r="C60" s="204"/>
      <c r="D60" s="130" t="s">
        <v>177</v>
      </c>
      <c r="E60" s="76"/>
      <c r="F60" s="66">
        <f t="shared" si="3"/>
        <v>0</v>
      </c>
      <c r="G60" s="270"/>
      <c r="H60" s="271"/>
      <c r="I60" s="271"/>
      <c r="J60" s="271"/>
      <c r="K60" s="272"/>
      <c r="L60" s="14"/>
      <c r="M60" s="14"/>
      <c r="N60" s="14"/>
    </row>
    <row r="61" spans="1:14" ht="15" customHeight="1" x14ac:dyDescent="0.2">
      <c r="D61" s="7"/>
      <c r="E61" s="7"/>
      <c r="F61" s="7"/>
      <c r="G61" s="7"/>
      <c r="H61" s="7"/>
      <c r="I61" s="7"/>
      <c r="J61" s="7"/>
      <c r="K61" s="7"/>
      <c r="L61" s="7"/>
      <c r="M61" s="7"/>
    </row>
    <row r="62" spans="1:14" ht="17.25" customHeight="1" x14ac:dyDescent="0.2">
      <c r="A62" s="255" t="s">
        <v>17</v>
      </c>
      <c r="B62" s="255"/>
      <c r="C62" s="6"/>
      <c r="D62" s="9" t="s">
        <v>4</v>
      </c>
      <c r="E62" s="249" t="str">
        <f>B5</f>
        <v>Public Utility District No. 1 of Benton County</v>
      </c>
      <c r="F62" s="250"/>
      <c r="G62" s="251"/>
    </row>
    <row r="63" spans="1:14" ht="15" customHeight="1" x14ac:dyDescent="0.2">
      <c r="A63" s="255"/>
      <c r="B63" s="255"/>
      <c r="D63" s="9" t="s">
        <v>12</v>
      </c>
      <c r="E63" s="252">
        <v>2016</v>
      </c>
      <c r="F63" s="253"/>
      <c r="G63" s="254"/>
    </row>
    <row r="64" spans="1:14" ht="15" customHeight="1" x14ac:dyDescent="0.2">
      <c r="A64" s="9"/>
      <c r="B64" s="9"/>
      <c r="C64" s="9"/>
      <c r="D64" s="9"/>
      <c r="G64" s="13"/>
      <c r="H64" s="7"/>
    </row>
    <row r="65" spans="1:33" s="10" customFormat="1" ht="38.25" customHeight="1" x14ac:dyDescent="0.2">
      <c r="A65" s="9"/>
      <c r="B65" s="256" t="s">
        <v>30</v>
      </c>
      <c r="C65" s="256" t="s">
        <v>127</v>
      </c>
      <c r="D65" s="258" t="s">
        <v>173</v>
      </c>
      <c r="E65" s="258" t="s">
        <v>176</v>
      </c>
      <c r="F65" s="258" t="s">
        <v>179</v>
      </c>
      <c r="G65" s="72" t="s">
        <v>181</v>
      </c>
      <c r="H65" s="72" t="s">
        <v>178</v>
      </c>
      <c r="I65" s="72" t="s">
        <v>180</v>
      </c>
      <c r="J65" s="273" t="s">
        <v>182</v>
      </c>
      <c r="K65" s="273"/>
      <c r="L65" s="273"/>
      <c r="M65" s="273"/>
      <c r="N65" s="14"/>
      <c r="O65" s="14"/>
      <c r="AG65" s="7"/>
    </row>
    <row r="66" spans="1:33" ht="15" customHeight="1" x14ac:dyDescent="0.2">
      <c r="A66" s="27" t="s">
        <v>18</v>
      </c>
      <c r="B66" s="257"/>
      <c r="C66" s="257"/>
      <c r="D66" s="259"/>
      <c r="E66" s="259"/>
      <c r="F66" s="259"/>
      <c r="G66" s="12" t="s">
        <v>128</v>
      </c>
      <c r="H66" s="47" t="s">
        <v>31</v>
      </c>
      <c r="I66" s="47" t="s">
        <v>31</v>
      </c>
      <c r="J66" s="273"/>
      <c r="K66" s="273"/>
      <c r="L66" s="273"/>
      <c r="M66" s="273"/>
      <c r="N66" s="14"/>
      <c r="O66" s="14"/>
      <c r="AG66" s="10"/>
    </row>
    <row r="67" spans="1:33" ht="15" customHeight="1" x14ac:dyDescent="0.2">
      <c r="A67" s="210" t="s">
        <v>207</v>
      </c>
      <c r="B67" s="211" t="s">
        <v>216</v>
      </c>
      <c r="C67" s="212">
        <v>2015</v>
      </c>
      <c r="D67" s="211" t="s">
        <v>14</v>
      </c>
      <c r="E67" s="219" t="s">
        <v>177</v>
      </c>
      <c r="F67" s="219" t="s">
        <v>177</v>
      </c>
      <c r="G67" s="125">
        <v>27573</v>
      </c>
      <c r="H67" s="142">
        <f t="shared" ref="H67:H68" si="4">IF(E67="Yes",0.2*G67,0)</f>
        <v>0</v>
      </c>
      <c r="I67" s="142">
        <f t="shared" ref="I67:I68" si="5">IF(F67="Yes",G67,0)</f>
        <v>0</v>
      </c>
      <c r="J67" s="217"/>
      <c r="K67" s="218"/>
      <c r="L67" s="218"/>
      <c r="M67" s="219"/>
      <c r="N67" s="14"/>
      <c r="O67" s="14"/>
    </row>
    <row r="68" spans="1:33" ht="15" customHeight="1" x14ac:dyDescent="0.2">
      <c r="A68" s="134" t="s">
        <v>218</v>
      </c>
      <c r="B68" s="135" t="s">
        <v>219</v>
      </c>
      <c r="C68" s="212">
        <v>2016</v>
      </c>
      <c r="D68" s="211" t="s">
        <v>15</v>
      </c>
      <c r="E68" s="219" t="s">
        <v>177</v>
      </c>
      <c r="F68" s="219" t="s">
        <v>221</v>
      </c>
      <c r="G68" s="137">
        <v>17984</v>
      </c>
      <c r="H68" s="142">
        <f t="shared" si="4"/>
        <v>0</v>
      </c>
      <c r="I68" s="142">
        <f t="shared" si="5"/>
        <v>17984</v>
      </c>
      <c r="J68" s="260" t="s">
        <v>220</v>
      </c>
      <c r="K68" s="261"/>
      <c r="L68" s="261"/>
      <c r="M68" s="262"/>
      <c r="N68" s="14"/>
      <c r="O68" s="14"/>
    </row>
    <row r="69" spans="1:33" ht="15" customHeight="1" x14ac:dyDescent="0.2">
      <c r="A69" s="124"/>
      <c r="B69" s="201"/>
      <c r="C69" s="212"/>
      <c r="D69" s="201"/>
      <c r="E69" s="78"/>
      <c r="F69" s="78"/>
      <c r="G69" s="125"/>
      <c r="H69" s="142"/>
      <c r="I69" s="142"/>
      <c r="J69" s="260"/>
      <c r="K69" s="261"/>
      <c r="L69" s="261"/>
      <c r="M69" s="262"/>
      <c r="N69" s="14"/>
      <c r="O69" s="14"/>
    </row>
    <row r="70" spans="1:33" ht="15" customHeight="1" x14ac:dyDescent="0.2">
      <c r="A70" s="122"/>
      <c r="B70" s="202"/>
      <c r="C70" s="212"/>
      <c r="D70" s="202"/>
      <c r="E70" s="78"/>
      <c r="F70" s="78"/>
      <c r="G70" s="125"/>
      <c r="H70" s="142"/>
      <c r="I70" s="142"/>
      <c r="J70" s="260"/>
      <c r="K70" s="261"/>
      <c r="L70" s="261"/>
      <c r="M70" s="262"/>
      <c r="N70" s="14"/>
      <c r="O70" s="14"/>
    </row>
    <row r="71" spans="1:33" ht="15" customHeight="1" x14ac:dyDescent="0.2">
      <c r="A71" s="124"/>
      <c r="B71" s="201"/>
      <c r="C71" s="212"/>
      <c r="D71" s="201"/>
      <c r="E71" s="78"/>
      <c r="F71" s="78"/>
      <c r="G71" s="125"/>
      <c r="H71" s="142"/>
      <c r="I71" s="142"/>
      <c r="J71" s="260"/>
      <c r="K71" s="261"/>
      <c r="L71" s="261"/>
      <c r="M71" s="262"/>
      <c r="N71" s="14"/>
      <c r="O71" s="14"/>
    </row>
    <row r="72" spans="1:33" ht="15" customHeight="1" x14ac:dyDescent="0.2">
      <c r="A72" s="210"/>
      <c r="B72" s="211"/>
      <c r="C72" s="212"/>
      <c r="D72" s="211"/>
      <c r="E72" s="209"/>
      <c r="F72" s="209"/>
      <c r="G72" s="125"/>
      <c r="H72" s="142"/>
      <c r="I72" s="142"/>
      <c r="J72" s="207"/>
      <c r="K72" s="208"/>
      <c r="L72" s="208"/>
      <c r="M72" s="209"/>
      <c r="N72" s="14"/>
      <c r="O72" s="14"/>
    </row>
    <row r="73" spans="1:33" ht="15" customHeight="1" x14ac:dyDescent="0.2">
      <c r="A73" s="134"/>
      <c r="B73" s="135"/>
      <c r="C73" s="212"/>
      <c r="D73" s="211"/>
      <c r="E73" s="209"/>
      <c r="F73" s="209"/>
      <c r="G73" s="137"/>
      <c r="H73" s="142"/>
      <c r="I73" s="142"/>
      <c r="J73" s="260"/>
      <c r="K73" s="261"/>
      <c r="L73" s="261"/>
      <c r="M73" s="262"/>
      <c r="N73" s="14"/>
      <c r="O73" s="14"/>
    </row>
    <row r="74" spans="1:33" ht="15" customHeight="1" x14ac:dyDescent="0.2">
      <c r="A74" s="210"/>
      <c r="B74" s="211"/>
      <c r="C74" s="212"/>
      <c r="D74" s="211"/>
      <c r="E74" s="209"/>
      <c r="F74" s="209"/>
      <c r="G74" s="137"/>
      <c r="H74" s="142"/>
      <c r="I74" s="142"/>
      <c r="J74" s="260"/>
      <c r="K74" s="261"/>
      <c r="L74" s="261"/>
      <c r="M74" s="262"/>
      <c r="N74" s="14"/>
      <c r="O74" s="14"/>
    </row>
    <row r="75" spans="1:33" ht="15" customHeight="1" x14ac:dyDescent="0.2">
      <c r="A75" s="134"/>
      <c r="B75" s="135"/>
      <c r="C75" s="212"/>
      <c r="D75" s="211"/>
      <c r="E75" s="209"/>
      <c r="F75" s="209"/>
      <c r="G75" s="137"/>
      <c r="H75" s="142"/>
      <c r="I75" s="142"/>
      <c r="J75" s="260"/>
      <c r="K75" s="261"/>
      <c r="L75" s="261"/>
      <c r="M75" s="262"/>
      <c r="N75" s="14"/>
      <c r="O75" s="14"/>
    </row>
    <row r="76" spans="1:33" ht="15" customHeight="1" x14ac:dyDescent="0.2">
      <c r="A76" s="210"/>
      <c r="B76" s="211"/>
      <c r="C76" s="212"/>
      <c r="D76" s="211"/>
      <c r="E76" s="78"/>
      <c r="F76" s="78"/>
      <c r="G76" s="137"/>
      <c r="H76" s="142"/>
      <c r="I76" s="142"/>
      <c r="J76" s="260"/>
      <c r="K76" s="261"/>
      <c r="L76" s="261"/>
      <c r="M76" s="262"/>
      <c r="N76" s="14"/>
      <c r="O76" s="14"/>
    </row>
    <row r="77" spans="1:33" ht="15" customHeight="1" x14ac:dyDescent="0.2">
      <c r="A77" s="124"/>
      <c r="B77" s="211"/>
      <c r="C77" s="212"/>
      <c r="D77" s="211"/>
      <c r="E77" s="78"/>
      <c r="F77" s="78"/>
      <c r="G77" s="137"/>
      <c r="H77" s="142"/>
      <c r="I77" s="142"/>
      <c r="J77" s="260"/>
      <c r="K77" s="261"/>
      <c r="L77" s="261"/>
      <c r="M77" s="262"/>
      <c r="N77" s="14"/>
      <c r="O77" s="14"/>
    </row>
    <row r="78" spans="1:33" ht="15" customHeight="1" x14ac:dyDescent="0.2">
      <c r="A78" s="210"/>
      <c r="B78" s="211"/>
      <c r="C78" s="212"/>
      <c r="D78" s="211"/>
      <c r="E78" s="78"/>
      <c r="F78" s="78"/>
      <c r="G78" s="137"/>
      <c r="H78" s="142"/>
      <c r="I78" s="142"/>
      <c r="J78" s="260"/>
      <c r="K78" s="261"/>
      <c r="L78" s="261"/>
      <c r="M78" s="262"/>
      <c r="N78" s="14"/>
      <c r="O78" s="14"/>
    </row>
    <row r="79" spans="1:33" ht="15" customHeight="1" x14ac:dyDescent="0.2">
      <c r="A79" s="134"/>
      <c r="B79" s="135"/>
      <c r="C79" s="212"/>
      <c r="D79" s="211"/>
      <c r="E79" s="78"/>
      <c r="F79" s="78"/>
      <c r="G79" s="137"/>
      <c r="H79" s="142"/>
      <c r="I79" s="142"/>
      <c r="J79" s="260"/>
      <c r="K79" s="261"/>
      <c r="L79" s="261"/>
      <c r="M79" s="262"/>
      <c r="N79" s="14"/>
      <c r="O79" s="14"/>
    </row>
    <row r="80" spans="1:33" ht="15" customHeight="1" x14ac:dyDescent="0.2">
      <c r="A80" s="134"/>
      <c r="B80" s="135"/>
      <c r="C80" s="136"/>
      <c r="D80" s="203"/>
      <c r="E80" s="78" t="s">
        <v>177</v>
      </c>
      <c r="F80" s="78" t="s">
        <v>177</v>
      </c>
      <c r="G80" s="137"/>
      <c r="H80" s="142">
        <f t="shared" ref="H80:H90" si="6">IF(E80="Yes",0.2*G80,0)</f>
        <v>0</v>
      </c>
      <c r="I80" s="142">
        <f t="shared" ref="I80:I91" si="7">IF(F80="Yes",G80,0)</f>
        <v>0</v>
      </c>
      <c r="J80" s="260"/>
      <c r="K80" s="261"/>
      <c r="L80" s="261"/>
      <c r="M80" s="262"/>
      <c r="N80" s="14"/>
      <c r="O80" s="14"/>
    </row>
    <row r="81" spans="1:15" ht="15" customHeight="1" x14ac:dyDescent="0.2">
      <c r="A81" s="134"/>
      <c r="B81" s="135"/>
      <c r="C81" s="136"/>
      <c r="D81" s="203"/>
      <c r="E81" s="78" t="s">
        <v>177</v>
      </c>
      <c r="F81" s="78" t="s">
        <v>177</v>
      </c>
      <c r="G81" s="137"/>
      <c r="H81" s="142">
        <f t="shared" si="6"/>
        <v>0</v>
      </c>
      <c r="I81" s="142">
        <f t="shared" si="7"/>
        <v>0</v>
      </c>
      <c r="J81" s="260"/>
      <c r="K81" s="261"/>
      <c r="L81" s="261"/>
      <c r="M81" s="262"/>
      <c r="N81" s="14"/>
      <c r="O81" s="14"/>
    </row>
    <row r="82" spans="1:15" ht="15" customHeight="1" x14ac:dyDescent="0.2">
      <c r="A82" s="134"/>
      <c r="B82" s="135"/>
      <c r="C82" s="136"/>
      <c r="D82" s="203"/>
      <c r="E82" s="78" t="s">
        <v>177</v>
      </c>
      <c r="F82" s="78" t="s">
        <v>177</v>
      </c>
      <c r="G82" s="137"/>
      <c r="H82" s="142">
        <f t="shared" si="6"/>
        <v>0</v>
      </c>
      <c r="I82" s="142">
        <f t="shared" si="7"/>
        <v>0</v>
      </c>
      <c r="J82" s="260"/>
      <c r="K82" s="261"/>
      <c r="L82" s="261"/>
      <c r="M82" s="262"/>
      <c r="N82" s="14"/>
      <c r="O82" s="14"/>
    </row>
    <row r="83" spans="1:15" ht="15" customHeight="1" x14ac:dyDescent="0.2">
      <c r="A83" s="134"/>
      <c r="B83" s="135"/>
      <c r="C83" s="136"/>
      <c r="D83" s="203"/>
      <c r="E83" s="78" t="s">
        <v>177</v>
      </c>
      <c r="F83" s="78" t="s">
        <v>177</v>
      </c>
      <c r="G83" s="137"/>
      <c r="H83" s="142">
        <f t="shared" si="6"/>
        <v>0</v>
      </c>
      <c r="I83" s="142">
        <f t="shared" si="7"/>
        <v>0</v>
      </c>
      <c r="J83" s="260"/>
      <c r="K83" s="261"/>
      <c r="L83" s="261"/>
      <c r="M83" s="262"/>
      <c r="N83" s="14"/>
      <c r="O83" s="14"/>
    </row>
    <row r="84" spans="1:15" ht="15" customHeight="1" x14ac:dyDescent="0.2">
      <c r="A84" s="134"/>
      <c r="B84" s="135"/>
      <c r="C84" s="136"/>
      <c r="D84" s="203"/>
      <c r="E84" s="78" t="s">
        <v>177</v>
      </c>
      <c r="F84" s="78" t="s">
        <v>177</v>
      </c>
      <c r="G84" s="137"/>
      <c r="H84" s="142">
        <f t="shared" si="6"/>
        <v>0</v>
      </c>
      <c r="I84" s="142">
        <f t="shared" si="7"/>
        <v>0</v>
      </c>
      <c r="J84" s="260"/>
      <c r="K84" s="261"/>
      <c r="L84" s="261"/>
      <c r="M84" s="262"/>
      <c r="N84" s="14"/>
      <c r="O84" s="14"/>
    </row>
    <row r="85" spans="1:15" ht="15" customHeight="1" x14ac:dyDescent="0.2">
      <c r="A85" s="134"/>
      <c r="B85" s="135"/>
      <c r="C85" s="136"/>
      <c r="D85" s="203"/>
      <c r="E85" s="78" t="s">
        <v>177</v>
      </c>
      <c r="F85" s="78" t="s">
        <v>177</v>
      </c>
      <c r="G85" s="137"/>
      <c r="H85" s="142">
        <f t="shared" si="6"/>
        <v>0</v>
      </c>
      <c r="I85" s="142">
        <f t="shared" si="7"/>
        <v>0</v>
      </c>
      <c r="J85" s="260"/>
      <c r="K85" s="261"/>
      <c r="L85" s="261"/>
      <c r="M85" s="262"/>
      <c r="N85" s="14"/>
      <c r="O85" s="14"/>
    </row>
    <row r="86" spans="1:15" ht="15" customHeight="1" x14ac:dyDescent="0.2">
      <c r="A86" s="134"/>
      <c r="B86" s="135"/>
      <c r="C86" s="136"/>
      <c r="D86" s="203"/>
      <c r="E86" s="78" t="s">
        <v>177</v>
      </c>
      <c r="F86" s="78" t="s">
        <v>177</v>
      </c>
      <c r="G86" s="137"/>
      <c r="H86" s="142">
        <f t="shared" si="6"/>
        <v>0</v>
      </c>
      <c r="I86" s="142">
        <f t="shared" si="7"/>
        <v>0</v>
      </c>
      <c r="J86" s="260"/>
      <c r="K86" s="261"/>
      <c r="L86" s="261"/>
      <c r="M86" s="262"/>
      <c r="N86" s="14"/>
      <c r="O86" s="14"/>
    </row>
    <row r="87" spans="1:15" ht="15" customHeight="1" x14ac:dyDescent="0.2">
      <c r="A87" s="134"/>
      <c r="B87" s="135"/>
      <c r="C87" s="136"/>
      <c r="D87" s="203"/>
      <c r="E87" s="78" t="s">
        <v>177</v>
      </c>
      <c r="F87" s="78" t="s">
        <v>177</v>
      </c>
      <c r="G87" s="137"/>
      <c r="H87" s="142">
        <f t="shared" si="6"/>
        <v>0</v>
      </c>
      <c r="I87" s="142">
        <f t="shared" si="7"/>
        <v>0</v>
      </c>
      <c r="J87" s="260"/>
      <c r="K87" s="261"/>
      <c r="L87" s="261"/>
      <c r="M87" s="262"/>
      <c r="N87" s="14"/>
      <c r="O87" s="14"/>
    </row>
    <row r="88" spans="1:15" ht="15" customHeight="1" x14ac:dyDescent="0.2">
      <c r="A88" s="134"/>
      <c r="B88" s="135"/>
      <c r="C88" s="136"/>
      <c r="D88" s="203"/>
      <c r="E88" s="78" t="s">
        <v>177</v>
      </c>
      <c r="F88" s="78" t="s">
        <v>177</v>
      </c>
      <c r="G88" s="137"/>
      <c r="H88" s="142">
        <f t="shared" si="6"/>
        <v>0</v>
      </c>
      <c r="I88" s="142">
        <f t="shared" si="7"/>
        <v>0</v>
      </c>
      <c r="J88" s="260"/>
      <c r="K88" s="261"/>
      <c r="L88" s="261"/>
      <c r="M88" s="262"/>
      <c r="N88" s="14"/>
      <c r="O88" s="14"/>
    </row>
    <row r="89" spans="1:15" ht="15" customHeight="1" x14ac:dyDescent="0.2">
      <c r="A89" s="134"/>
      <c r="B89" s="135"/>
      <c r="C89" s="136"/>
      <c r="D89" s="203"/>
      <c r="E89" s="78" t="s">
        <v>177</v>
      </c>
      <c r="F89" s="78" t="s">
        <v>177</v>
      </c>
      <c r="G89" s="137"/>
      <c r="H89" s="142">
        <f t="shared" si="6"/>
        <v>0</v>
      </c>
      <c r="I89" s="142">
        <f t="shared" si="7"/>
        <v>0</v>
      </c>
      <c r="J89" s="260"/>
      <c r="K89" s="261"/>
      <c r="L89" s="261"/>
      <c r="M89" s="262"/>
      <c r="N89" s="14"/>
      <c r="O89" s="14"/>
    </row>
    <row r="90" spans="1:15" ht="15" customHeight="1" x14ac:dyDescent="0.2">
      <c r="A90" s="134"/>
      <c r="B90" s="135"/>
      <c r="C90" s="136"/>
      <c r="D90" s="203"/>
      <c r="E90" s="78" t="s">
        <v>177</v>
      </c>
      <c r="F90" s="78" t="s">
        <v>177</v>
      </c>
      <c r="G90" s="137"/>
      <c r="H90" s="142">
        <f t="shared" si="6"/>
        <v>0</v>
      </c>
      <c r="I90" s="142">
        <f t="shared" si="7"/>
        <v>0</v>
      </c>
      <c r="J90" s="260"/>
      <c r="K90" s="261"/>
      <c r="L90" s="261"/>
      <c r="M90" s="262"/>
      <c r="N90" s="14"/>
      <c r="O90" s="14"/>
    </row>
    <row r="91" spans="1:15" ht="15" customHeight="1" x14ac:dyDescent="0.2">
      <c r="A91" s="138"/>
      <c r="B91" s="139"/>
      <c r="C91" s="140"/>
      <c r="D91" s="204"/>
      <c r="E91" s="78" t="s">
        <v>177</v>
      </c>
      <c r="F91" s="78" t="s">
        <v>177</v>
      </c>
      <c r="G91" s="141"/>
      <c r="H91" s="49">
        <f>IF(E91="Yes",0.2*G91,0)</f>
        <v>0</v>
      </c>
      <c r="I91" s="142">
        <f t="shared" si="7"/>
        <v>0</v>
      </c>
      <c r="J91" s="260"/>
      <c r="K91" s="261"/>
      <c r="L91" s="261"/>
      <c r="M91" s="262"/>
      <c r="N91" s="14"/>
      <c r="O91" s="14"/>
    </row>
    <row r="92" spans="1:15" ht="15" customHeight="1" x14ac:dyDescent="0.2">
      <c r="N92" s="14"/>
      <c r="O92" s="14"/>
    </row>
    <row r="93" spans="1:15" ht="15" customHeight="1" x14ac:dyDescent="0.2">
      <c r="A93" s="10"/>
      <c r="B93" s="10"/>
      <c r="C93" s="10"/>
      <c r="D93" s="9" t="s">
        <v>4</v>
      </c>
      <c r="E93" s="249" t="str">
        <f>B5</f>
        <v>Public Utility District No. 1 of Benton County</v>
      </c>
      <c r="F93" s="250"/>
      <c r="G93" s="251"/>
      <c r="N93" s="14"/>
      <c r="O93" s="14"/>
    </row>
    <row r="94" spans="1:15" ht="15" customHeight="1" x14ac:dyDescent="0.2">
      <c r="D94" s="9" t="s">
        <v>12</v>
      </c>
      <c r="E94" s="252">
        <v>2016</v>
      </c>
      <c r="F94" s="253"/>
      <c r="G94" s="254"/>
    </row>
    <row r="95" spans="1:15" x14ac:dyDescent="0.2">
      <c r="A95" s="2" t="s">
        <v>38</v>
      </c>
      <c r="B95" s="45"/>
      <c r="C95" s="45"/>
      <c r="D95" s="45"/>
      <c r="E95" s="45"/>
      <c r="F95" s="45"/>
      <c r="G95" s="45"/>
      <c r="H95" s="45"/>
      <c r="I95" s="45"/>
      <c r="J95" s="45"/>
      <c r="K95" s="45"/>
      <c r="L95" s="45"/>
    </row>
    <row r="96" spans="1:15" x14ac:dyDescent="0.2">
      <c r="A96" s="45"/>
      <c r="B96" s="45"/>
      <c r="C96" s="45"/>
      <c r="D96" s="45"/>
      <c r="E96" s="45"/>
      <c r="F96" s="45"/>
      <c r="G96" s="45"/>
      <c r="H96" s="45"/>
      <c r="I96" s="45"/>
      <c r="J96" s="45"/>
      <c r="K96" s="45"/>
      <c r="L96" s="45"/>
    </row>
    <row r="97" spans="1:12" x14ac:dyDescent="0.2">
      <c r="A97" s="45"/>
      <c r="B97" s="45"/>
      <c r="C97" s="45"/>
      <c r="D97" s="45"/>
      <c r="E97" s="45"/>
      <c r="F97" s="45"/>
      <c r="G97" s="45"/>
      <c r="H97" s="45"/>
      <c r="I97" s="45"/>
      <c r="J97" s="45"/>
      <c r="K97" s="45"/>
      <c r="L97" s="45"/>
    </row>
    <row r="98" spans="1:12" x14ac:dyDescent="0.2">
      <c r="A98" s="45"/>
      <c r="B98" s="45"/>
      <c r="C98" s="45"/>
      <c r="D98" s="45"/>
      <c r="E98" s="45"/>
      <c r="F98" s="45"/>
      <c r="G98" s="45"/>
      <c r="H98" s="45"/>
      <c r="I98" s="45"/>
      <c r="J98" s="45"/>
      <c r="K98" s="45"/>
      <c r="L98" s="45"/>
    </row>
    <row r="99" spans="1:12" x14ac:dyDescent="0.2">
      <c r="A99" s="45"/>
      <c r="B99" s="45"/>
      <c r="C99" s="45"/>
      <c r="D99" s="45"/>
      <c r="E99" s="45"/>
      <c r="F99" s="45"/>
      <c r="G99" s="45"/>
      <c r="H99" s="45"/>
      <c r="I99" s="45"/>
      <c r="J99" s="45"/>
      <c r="K99" s="45"/>
      <c r="L99" s="45"/>
    </row>
    <row r="100" spans="1:12" x14ac:dyDescent="0.2">
      <c r="A100" s="45"/>
      <c r="B100" s="45"/>
      <c r="C100" s="45"/>
      <c r="D100" s="45"/>
      <c r="E100" s="45"/>
      <c r="F100" s="45"/>
      <c r="G100" s="45"/>
      <c r="H100" s="45"/>
      <c r="I100" s="45"/>
      <c r="J100" s="45"/>
      <c r="K100" s="45"/>
      <c r="L100" s="45"/>
    </row>
    <row r="101" spans="1:12" x14ac:dyDescent="0.2">
      <c r="A101" s="45"/>
      <c r="B101" s="45"/>
      <c r="C101" s="45"/>
      <c r="D101" s="45"/>
      <c r="E101" s="45"/>
      <c r="F101" s="45"/>
      <c r="G101" s="45"/>
      <c r="H101" s="45"/>
      <c r="I101" s="45"/>
      <c r="J101" s="45"/>
      <c r="K101" s="45"/>
      <c r="L101" s="45"/>
    </row>
    <row r="102" spans="1:12" x14ac:dyDescent="0.2">
      <c r="A102" s="45"/>
      <c r="B102" s="45"/>
      <c r="C102" s="45"/>
      <c r="D102" s="45"/>
      <c r="E102" s="45"/>
      <c r="F102" s="45"/>
      <c r="G102" s="45"/>
      <c r="H102" s="45"/>
      <c r="I102" s="45"/>
      <c r="J102" s="45"/>
      <c r="K102" s="45"/>
      <c r="L102" s="45"/>
    </row>
    <row r="103" spans="1:12" x14ac:dyDescent="0.2">
      <c r="A103" s="45"/>
      <c r="B103" s="45"/>
      <c r="C103" s="45"/>
      <c r="D103" s="45"/>
      <c r="E103" s="45"/>
      <c r="F103" s="45"/>
      <c r="G103" s="45"/>
      <c r="H103" s="45"/>
      <c r="I103" s="45"/>
      <c r="J103" s="45"/>
      <c r="K103" s="45"/>
      <c r="L103" s="45"/>
    </row>
    <row r="104" spans="1:12" x14ac:dyDescent="0.2">
      <c r="A104" s="45"/>
      <c r="B104" s="45"/>
      <c r="C104" s="45"/>
      <c r="D104" s="45"/>
      <c r="E104" s="45"/>
      <c r="F104" s="45"/>
      <c r="G104" s="45"/>
      <c r="H104" s="45"/>
      <c r="I104" s="45"/>
      <c r="J104" s="45"/>
      <c r="K104" s="45"/>
      <c r="L104" s="45"/>
    </row>
    <row r="105" spans="1:12" x14ac:dyDescent="0.2">
      <c r="A105" s="45"/>
      <c r="B105" s="45"/>
      <c r="C105" s="45"/>
      <c r="D105" s="45"/>
      <c r="E105" s="45"/>
      <c r="F105" s="45"/>
      <c r="G105" s="45"/>
      <c r="H105" s="45"/>
      <c r="I105" s="45"/>
      <c r="J105" s="45"/>
      <c r="K105" s="45"/>
      <c r="L105" s="45"/>
    </row>
    <row r="106" spans="1:12" x14ac:dyDescent="0.2">
      <c r="A106" s="45"/>
      <c r="B106" s="45"/>
      <c r="C106" s="45"/>
      <c r="D106" s="45"/>
      <c r="E106" s="45"/>
      <c r="F106" s="45"/>
      <c r="G106" s="45"/>
      <c r="H106" s="45"/>
      <c r="I106" s="45"/>
      <c r="J106" s="45"/>
      <c r="K106" s="45"/>
      <c r="L106" s="45"/>
    </row>
    <row r="107" spans="1:12" x14ac:dyDescent="0.2">
      <c r="A107" s="45"/>
      <c r="B107" s="45"/>
      <c r="C107" s="45"/>
      <c r="D107" s="45"/>
      <c r="E107" s="45"/>
      <c r="F107" s="45"/>
      <c r="G107" s="45"/>
      <c r="H107" s="45"/>
      <c r="I107" s="45"/>
      <c r="J107" s="45"/>
      <c r="K107" s="45"/>
      <c r="L107" s="45"/>
    </row>
    <row r="108" spans="1:12" x14ac:dyDescent="0.2">
      <c r="A108" s="45"/>
      <c r="B108" s="45"/>
      <c r="C108" s="45"/>
      <c r="D108" s="45"/>
      <c r="E108" s="45"/>
      <c r="F108" s="45"/>
      <c r="G108" s="45"/>
      <c r="H108" s="45"/>
      <c r="I108" s="45"/>
      <c r="J108" s="45"/>
      <c r="K108" s="45"/>
      <c r="L108" s="45"/>
    </row>
    <row r="109" spans="1:12" x14ac:dyDescent="0.2">
      <c r="A109" s="45"/>
      <c r="B109" s="45"/>
      <c r="C109" s="45"/>
      <c r="D109" s="45"/>
      <c r="E109" s="45"/>
      <c r="F109" s="45"/>
      <c r="G109" s="45"/>
      <c r="H109" s="45"/>
      <c r="I109" s="45"/>
      <c r="J109" s="45"/>
      <c r="K109" s="45"/>
      <c r="L109" s="45"/>
    </row>
    <row r="110" spans="1:12" x14ac:dyDescent="0.2">
      <c r="A110" s="45"/>
      <c r="B110" s="45"/>
      <c r="C110" s="45"/>
      <c r="D110" s="45"/>
      <c r="E110" s="45"/>
      <c r="F110" s="45"/>
      <c r="G110" s="45"/>
      <c r="H110" s="45"/>
      <c r="I110" s="45"/>
      <c r="J110" s="45"/>
      <c r="K110" s="45"/>
      <c r="L110" s="45"/>
    </row>
    <row r="111" spans="1:12" x14ac:dyDescent="0.2">
      <c r="A111" s="45"/>
      <c r="B111" s="45"/>
      <c r="C111" s="45"/>
      <c r="D111" s="45"/>
      <c r="E111" s="45"/>
      <c r="F111" s="45"/>
      <c r="G111" s="45"/>
      <c r="H111" s="45"/>
      <c r="I111" s="45"/>
      <c r="J111" s="45"/>
      <c r="K111" s="45"/>
      <c r="L111" s="45"/>
    </row>
    <row r="112" spans="1:12" x14ac:dyDescent="0.2">
      <c r="A112" s="45"/>
      <c r="B112" s="45"/>
      <c r="C112" s="45"/>
      <c r="D112" s="45"/>
      <c r="E112" s="45"/>
      <c r="F112" s="45"/>
      <c r="G112" s="45"/>
      <c r="H112" s="45"/>
      <c r="I112" s="45"/>
      <c r="J112" s="45"/>
      <c r="K112" s="45"/>
      <c r="L112" s="45"/>
    </row>
    <row r="113" spans="1:12" x14ac:dyDescent="0.2">
      <c r="A113" s="45"/>
      <c r="B113" s="45"/>
      <c r="C113" s="45"/>
      <c r="D113" s="45"/>
      <c r="E113" s="45"/>
      <c r="F113" s="45"/>
      <c r="G113" s="45"/>
      <c r="H113" s="45"/>
      <c r="I113" s="45"/>
      <c r="J113" s="45"/>
      <c r="K113" s="45"/>
      <c r="L113" s="45"/>
    </row>
    <row r="114" spans="1:12" x14ac:dyDescent="0.2">
      <c r="A114" s="45"/>
      <c r="B114" s="45"/>
      <c r="C114" s="45"/>
      <c r="D114" s="45"/>
      <c r="E114" s="45"/>
      <c r="F114" s="45"/>
      <c r="G114" s="45"/>
      <c r="H114" s="45"/>
      <c r="I114" s="45"/>
      <c r="J114" s="45"/>
      <c r="K114" s="45"/>
      <c r="L114" s="45"/>
    </row>
    <row r="115" spans="1:12" x14ac:dyDescent="0.2">
      <c r="A115" s="45"/>
      <c r="B115" s="45"/>
      <c r="C115" s="45"/>
      <c r="D115" s="45"/>
      <c r="E115" s="45"/>
      <c r="F115" s="45"/>
      <c r="G115" s="45"/>
      <c r="H115" s="45"/>
      <c r="I115" s="45"/>
      <c r="J115" s="45"/>
      <c r="K115" s="45"/>
      <c r="L115" s="45"/>
    </row>
    <row r="116" spans="1:12" x14ac:dyDescent="0.2">
      <c r="A116" s="45"/>
      <c r="B116" s="45"/>
      <c r="C116" s="45"/>
      <c r="D116" s="45"/>
      <c r="E116" s="45"/>
      <c r="F116" s="45"/>
      <c r="G116" s="45"/>
      <c r="H116" s="45"/>
      <c r="I116" s="45"/>
      <c r="J116" s="45"/>
      <c r="K116" s="45"/>
      <c r="L116" s="45"/>
    </row>
  </sheetData>
  <mergeCells count="68">
    <mergeCell ref="A1:N1"/>
    <mergeCell ref="A2:N2"/>
    <mergeCell ref="J91:M91"/>
    <mergeCell ref="G40:K40"/>
    <mergeCell ref="G41:K41"/>
    <mergeCell ref="G43:K43"/>
    <mergeCell ref="G44:K44"/>
    <mergeCell ref="G45:K45"/>
    <mergeCell ref="G46:K46"/>
    <mergeCell ref="G47:K47"/>
    <mergeCell ref="G48:K48"/>
    <mergeCell ref="G49:K49"/>
    <mergeCell ref="G50:K50"/>
    <mergeCell ref="G51:K51"/>
    <mergeCell ref="J86:M86"/>
    <mergeCell ref="J87:M87"/>
    <mergeCell ref="J90:M90"/>
    <mergeCell ref="J81:M81"/>
    <mergeCell ref="J82:M82"/>
    <mergeCell ref="J83:M83"/>
    <mergeCell ref="J84:M84"/>
    <mergeCell ref="J85:M85"/>
    <mergeCell ref="J78:M78"/>
    <mergeCell ref="J79:M79"/>
    <mergeCell ref="J80:M80"/>
    <mergeCell ref="J88:M88"/>
    <mergeCell ref="J89:M89"/>
    <mergeCell ref="J73:M73"/>
    <mergeCell ref="J74:M74"/>
    <mergeCell ref="J75:M75"/>
    <mergeCell ref="J76:M76"/>
    <mergeCell ref="J77:M77"/>
    <mergeCell ref="H4:M4"/>
    <mergeCell ref="F12:M12"/>
    <mergeCell ref="J68:M68"/>
    <mergeCell ref="J69:M69"/>
    <mergeCell ref="J70:M70"/>
    <mergeCell ref="G60:K60"/>
    <mergeCell ref="G55:K55"/>
    <mergeCell ref="G56:K56"/>
    <mergeCell ref="G57:K57"/>
    <mergeCell ref="G58:K58"/>
    <mergeCell ref="G59:K59"/>
    <mergeCell ref="F65:F66"/>
    <mergeCell ref="J65:M66"/>
    <mergeCell ref="H16:L16"/>
    <mergeCell ref="E62:G62"/>
    <mergeCell ref="B5:D5"/>
    <mergeCell ref="B6:D6"/>
    <mergeCell ref="B7:D7"/>
    <mergeCell ref="B8:D8"/>
    <mergeCell ref="B9:D9"/>
    <mergeCell ref="E93:G93"/>
    <mergeCell ref="E94:G94"/>
    <mergeCell ref="E36:G36"/>
    <mergeCell ref="E37:G37"/>
    <mergeCell ref="A36:A37"/>
    <mergeCell ref="A62:B63"/>
    <mergeCell ref="C65:C66"/>
    <mergeCell ref="B65:B66"/>
    <mergeCell ref="D65:D66"/>
    <mergeCell ref="E65:E66"/>
    <mergeCell ref="E63:G63"/>
    <mergeCell ref="G52:K52"/>
    <mergeCell ref="G53:K53"/>
    <mergeCell ref="G54:K54"/>
    <mergeCell ref="G39:K39"/>
    <mergeCell ref="J71:M71"/>
  </mergeCells>
  <dataValidations count="5">
    <dataValidation type="list" allowBlank="1" showInputMessage="1" showErrorMessage="1" promptTitle="Distributed Generation Eligibili" prompt="Use the drop down box to select &quot;Yes&quot; if the resource is eligible for the distributed generation additional credit. The amount is equal to 100 percent of the MWh reported and will be calculated." sqref="F67:F91">
      <formula1>"Yes,No"</formula1>
    </dataValidation>
    <dataValidation type="list" allowBlank="1" showInputMessage="1" showErrorMessage="1" error="REC Vintage must be 2015, 2016, or 2017. List each vintage year separately." sqref="C67:C91">
      <formula1>"2015,2016,2017"</formula1>
    </dataValidation>
    <dataValidation type="list" allowBlank="1" showInputMessage="1" showErrorMessage="1" promptTitle="Resource Type" prompt="Select from the drop down menu. Use scroll bar on the right side of the box to see the entire list of eligible resource types." sqref="C40:C60 D67:D91">
      <formula1>ResourceType</formula1>
    </dataValidation>
    <dataValidation type="list" allowBlank="1" showInputMessage="1" showErrorMessage="1" promptTitle="Apprentice Labor Eligibility" prompt="Use the drop down box to select &quot;Yes&quot; if the resource is eligible for the apprentice labor additional credit. The amount is equal to 20 percent of the MWh reported and will be calculated." sqref="D40:D60 E67:E91">
      <formula1>"Yes,No"</formula1>
    </dataValidation>
    <dataValidation allowBlank="1" showErrorMessage="1" sqref="A14"/>
  </dataValidations>
  <hyperlinks>
    <hyperlink ref="B9" r:id="rId1"/>
  </hyperlinks>
  <pageMargins left="0.7" right="0.7" top="0.75" bottom="0.75" header="0.3" footer="0.3"/>
  <pageSetup scale="71" fitToHeight="0" orientation="landscape" r:id="rId2"/>
  <rowBreaks count="3" manualBreakCount="3">
    <brk id="34" max="13" man="1"/>
    <brk id="61" max="13" man="1"/>
    <brk id="91" max="13" man="1"/>
  </rowBreaks>
  <drawing r:id="rId3"/>
  <legacyDrawing r:id="rId4"/>
  <mc:AlternateContent xmlns:mc="http://schemas.openxmlformats.org/markup-compatibility/2006">
    <mc:Choice Requires="x14">
      <controls>
        <mc:AlternateContent xmlns:mc="http://schemas.openxmlformats.org/markup-compatibility/2006">
          <mc:Choice Requires="x14">
            <control shapeId="5453" r:id="rId5" name="Check Box 333">
              <controlPr defaultSize="0" autoFill="0" autoLine="0" autoPict="0">
                <anchor moveWithCells="1" sizeWithCells="1">
                  <from>
                    <xdr:col>0</xdr:col>
                    <xdr:colOff>733425</xdr:colOff>
                    <xdr:row>15</xdr:row>
                    <xdr:rowOff>9525</xdr:rowOff>
                  </from>
                  <to>
                    <xdr:col>3</xdr:col>
                    <xdr:colOff>428625</xdr:colOff>
                    <xdr:row>15</xdr:row>
                    <xdr:rowOff>123825</xdr:rowOff>
                  </to>
                </anchor>
              </controlPr>
            </control>
          </mc:Choice>
        </mc:AlternateContent>
        <mc:AlternateContent xmlns:mc="http://schemas.openxmlformats.org/markup-compatibility/2006">
          <mc:Choice Requires="x14">
            <control shapeId="5454" r:id="rId6" name="Check Box 334">
              <controlPr defaultSize="0" autoFill="0" autoLine="0" autoPict="0">
                <anchor moveWithCells="1" sizeWithCells="1">
                  <from>
                    <xdr:col>0</xdr:col>
                    <xdr:colOff>733425</xdr:colOff>
                    <xdr:row>12</xdr:row>
                    <xdr:rowOff>171450</xdr:rowOff>
                  </from>
                  <to>
                    <xdr:col>3</xdr:col>
                    <xdr:colOff>171450</xdr:colOff>
                    <xdr:row>14</xdr:row>
                    <xdr:rowOff>104775</xdr:rowOff>
                  </to>
                </anchor>
              </controlPr>
            </control>
          </mc:Choice>
        </mc:AlternateContent>
        <mc:AlternateContent xmlns:mc="http://schemas.openxmlformats.org/markup-compatibility/2006">
          <mc:Choice Requires="x14">
            <control shapeId="5455" r:id="rId7" name="Check Box 335">
              <controlPr defaultSize="0" autoFill="0" autoLine="0" autoPict="0">
                <anchor moveWithCells="1" sizeWithCells="1">
                  <from>
                    <xdr:col>0</xdr:col>
                    <xdr:colOff>733425</xdr:colOff>
                    <xdr:row>11</xdr:row>
                    <xdr:rowOff>123825</xdr:rowOff>
                  </from>
                  <to>
                    <xdr:col>2</xdr:col>
                    <xdr:colOff>533400</xdr:colOff>
                    <xdr:row>12</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2"/>
  <sheetViews>
    <sheetView showGridLines="0" zoomScale="90" zoomScaleNormal="90" zoomScaleSheetLayoutView="100" workbookViewId="0">
      <selection activeCell="D10" sqref="D10"/>
    </sheetView>
  </sheetViews>
  <sheetFormatPr defaultColWidth="9.140625" defaultRowHeight="12.75" x14ac:dyDescent="0.2"/>
  <cols>
    <col min="1" max="1" width="52.7109375" style="74" customWidth="1"/>
    <col min="2" max="2" width="10.85546875" style="74" customWidth="1"/>
    <col min="3" max="3" width="10.28515625" style="74" customWidth="1"/>
    <col min="4" max="4" width="14" style="74" customWidth="1"/>
    <col min="5" max="5" width="14.140625" style="74" customWidth="1"/>
    <col min="6" max="8" width="10.7109375" style="74" customWidth="1"/>
    <col min="9" max="9" width="15.7109375" style="74" customWidth="1"/>
    <col min="10" max="10" width="10.7109375" style="74" customWidth="1"/>
    <col min="11" max="11" width="16.5703125" style="74" customWidth="1"/>
    <col min="12" max="16384" width="9.140625" style="74"/>
  </cols>
  <sheetData>
    <row r="1" spans="1:14" ht="15" customHeight="1" x14ac:dyDescent="0.2">
      <c r="A1" s="289" t="s">
        <v>190</v>
      </c>
      <c r="B1" s="289"/>
      <c r="C1" s="289"/>
      <c r="D1" s="289"/>
      <c r="E1" s="289"/>
      <c r="F1" s="289"/>
      <c r="G1" s="289"/>
      <c r="H1" s="289"/>
      <c r="I1" s="289"/>
      <c r="J1" s="289"/>
      <c r="K1" s="289"/>
      <c r="L1" s="75"/>
      <c r="M1" s="75"/>
      <c r="N1" s="75"/>
    </row>
    <row r="2" spans="1:14" ht="15" customHeight="1" x14ac:dyDescent="0.2">
      <c r="A2" s="290" t="s">
        <v>191</v>
      </c>
      <c r="B2" s="290"/>
      <c r="C2" s="290"/>
      <c r="D2" s="290"/>
      <c r="E2" s="290"/>
      <c r="F2" s="290"/>
      <c r="G2" s="290"/>
      <c r="H2" s="290"/>
      <c r="I2" s="290"/>
      <c r="J2" s="290"/>
      <c r="K2" s="290"/>
      <c r="L2" s="75"/>
      <c r="M2" s="75"/>
      <c r="N2" s="75"/>
    </row>
    <row r="3" spans="1:14" s="75" customFormat="1" ht="19.5" x14ac:dyDescent="0.4">
      <c r="A3" s="144" t="s">
        <v>136</v>
      </c>
      <c r="B3" s="144"/>
      <c r="C3" s="144"/>
    </row>
    <row r="4" spans="1:14" ht="15" customHeight="1" x14ac:dyDescent="0.2">
      <c r="L4" s="75"/>
      <c r="M4" s="75"/>
      <c r="N4" s="75"/>
    </row>
    <row r="5" spans="1:14" ht="16.5" customHeight="1" x14ac:dyDescent="0.25">
      <c r="A5" s="145" t="s">
        <v>99</v>
      </c>
      <c r="B5" s="146"/>
      <c r="C5" s="146"/>
      <c r="D5" s="83" t="s">
        <v>4</v>
      </c>
      <c r="E5" s="291" t="str">
        <f>'Renewables Report'!$B$5</f>
        <v>Public Utility District No. 1 of Benton County</v>
      </c>
      <c r="F5" s="292"/>
      <c r="G5" s="293"/>
      <c r="L5" s="75"/>
      <c r="M5" s="75"/>
      <c r="N5" s="75"/>
    </row>
    <row r="6" spans="1:14" ht="15" customHeight="1" x14ac:dyDescent="0.2">
      <c r="D6" s="83" t="s">
        <v>12</v>
      </c>
      <c r="E6" s="294">
        <v>2016</v>
      </c>
      <c r="F6" s="295"/>
      <c r="G6" s="296"/>
    </row>
    <row r="7" spans="1:14" ht="15" customHeight="1" x14ac:dyDescent="0.2">
      <c r="D7" s="83"/>
      <c r="E7" s="84"/>
      <c r="F7" s="147"/>
      <c r="G7" s="147"/>
    </row>
    <row r="8" spans="1:14" ht="48" x14ac:dyDescent="0.2">
      <c r="A8" s="148" t="s">
        <v>18</v>
      </c>
      <c r="B8" s="149" t="s">
        <v>30</v>
      </c>
      <c r="C8" s="150" t="s">
        <v>6</v>
      </c>
      <c r="D8" s="151" t="s">
        <v>135</v>
      </c>
      <c r="E8" s="151" t="s">
        <v>95</v>
      </c>
      <c r="F8" s="297" t="s">
        <v>94</v>
      </c>
      <c r="G8" s="297"/>
      <c r="H8" s="297"/>
      <c r="I8" s="151" t="s">
        <v>134</v>
      </c>
      <c r="J8" s="151" t="s">
        <v>96</v>
      </c>
      <c r="K8" s="151" t="s">
        <v>133</v>
      </c>
    </row>
    <row r="9" spans="1:14" ht="15" customHeight="1" x14ac:dyDescent="0.2">
      <c r="A9" s="225" t="str">
        <f>'Renewables Report'!A40</f>
        <v>Nine Canyon Wind Project - Nine Canyon Phase 3</v>
      </c>
      <c r="B9" s="170" t="str">
        <f>'Renewables Report'!B40</f>
        <v>W697</v>
      </c>
      <c r="C9" s="171">
        <f>SUM('Renewables Report'!E40)</f>
        <v>15175</v>
      </c>
      <c r="D9" s="152">
        <v>1726225</v>
      </c>
      <c r="E9" s="180">
        <f>IF(C9&gt;0,D9/C9,"")</f>
        <v>113.75453047775947</v>
      </c>
      <c r="F9" s="283" t="s">
        <v>225</v>
      </c>
      <c r="G9" s="284"/>
      <c r="H9" s="285"/>
      <c r="I9" s="152">
        <v>808791</v>
      </c>
      <c r="J9" s="180">
        <f>IF(C9&gt;0,I9/C9,"")</f>
        <v>53.297594728171333</v>
      </c>
      <c r="K9" s="180">
        <f>MAX(0,D9-I9)</f>
        <v>917434</v>
      </c>
    </row>
    <row r="10" spans="1:14" ht="15" customHeight="1" x14ac:dyDescent="0.2">
      <c r="A10" s="226" t="str">
        <f>'Renewables Report'!A41</f>
        <v>Nine Canyon Wind Project - Nine Canyon Wind Project</v>
      </c>
      <c r="B10" s="173" t="str">
        <f>'Renewables Report'!B41</f>
        <v>W684</v>
      </c>
      <c r="C10" s="174">
        <f>SUM('Renewables Report'!E41)</f>
        <v>27041</v>
      </c>
      <c r="D10" s="153">
        <v>1170982</v>
      </c>
      <c r="E10" s="181">
        <f t="shared" ref="E10:E29" si="0">IF(C10&gt;0,D10/C10,"")</f>
        <v>43.303945859990385</v>
      </c>
      <c r="F10" s="280" t="s">
        <v>225</v>
      </c>
      <c r="G10" s="281"/>
      <c r="H10" s="282"/>
      <c r="I10" s="153">
        <v>406334</v>
      </c>
      <c r="J10" s="181">
        <f t="shared" ref="J10:J29" si="1">IF(C10&gt;0,I10/C10,"")</f>
        <v>15.026589253356015</v>
      </c>
      <c r="K10" s="181">
        <f t="shared" ref="K10:K29" si="2">MAX(0,D10-I10)</f>
        <v>764648</v>
      </c>
    </row>
    <row r="11" spans="1:14" ht="15" customHeight="1" x14ac:dyDescent="0.2">
      <c r="A11" s="226" t="str">
        <f>'Renewables Report'!A42</f>
        <v>White Creek Wind 1 - White Creek</v>
      </c>
      <c r="B11" s="173" t="str">
        <f>'Renewables Report'!B42</f>
        <v>W360</v>
      </c>
      <c r="C11" s="174">
        <f>SUM('Renewables Report'!E42)</f>
        <v>42557</v>
      </c>
      <c r="D11" s="153">
        <v>2610052</v>
      </c>
      <c r="E11" s="181">
        <f t="shared" si="0"/>
        <v>61.330732899405504</v>
      </c>
      <c r="F11" s="280" t="s">
        <v>225</v>
      </c>
      <c r="G11" s="281"/>
      <c r="H11" s="282"/>
      <c r="I11" s="153">
        <v>1234238</v>
      </c>
      <c r="J11" s="181">
        <f t="shared" si="1"/>
        <v>29.001997321239749</v>
      </c>
      <c r="K11" s="181">
        <f t="shared" si="2"/>
        <v>1375814</v>
      </c>
    </row>
    <row r="12" spans="1:14" ht="15" customHeight="1" x14ac:dyDescent="0.2">
      <c r="A12" s="226" t="str">
        <f>'Renewables Report'!A43</f>
        <v>Condon Wind Power Project - Condon Phase II</v>
      </c>
      <c r="B12" s="173" t="str">
        <f>'Renewables Report'!B43</f>
        <v>W833</v>
      </c>
      <c r="C12" s="174">
        <f>SUM('Renewables Report'!E43)</f>
        <v>1155</v>
      </c>
      <c r="D12" s="153">
        <v>0</v>
      </c>
      <c r="E12" s="181">
        <f t="shared" si="0"/>
        <v>0</v>
      </c>
      <c r="F12" s="280" t="s">
        <v>226</v>
      </c>
      <c r="G12" s="281"/>
      <c r="H12" s="282"/>
      <c r="I12" s="153">
        <v>0</v>
      </c>
      <c r="J12" s="181">
        <f t="shared" si="1"/>
        <v>0</v>
      </c>
      <c r="K12" s="181">
        <f t="shared" si="2"/>
        <v>0</v>
      </c>
    </row>
    <row r="13" spans="1:14" ht="15" customHeight="1" x14ac:dyDescent="0.2">
      <c r="A13" s="226" t="str">
        <f>'Renewables Report'!A44</f>
        <v>Condon Wind Power Project - Condon Wind Power Project</v>
      </c>
      <c r="B13" s="173" t="str">
        <f>'Renewables Report'!B44</f>
        <v>W774</v>
      </c>
      <c r="C13" s="174">
        <f>SUM('Renewables Report'!E44)</f>
        <v>1006</v>
      </c>
      <c r="D13" s="153">
        <v>0</v>
      </c>
      <c r="E13" s="181">
        <f t="shared" si="0"/>
        <v>0</v>
      </c>
      <c r="F13" s="280" t="s">
        <v>226</v>
      </c>
      <c r="G13" s="281"/>
      <c r="H13" s="282"/>
      <c r="I13" s="153">
        <v>0</v>
      </c>
      <c r="J13" s="181">
        <f t="shared" si="1"/>
        <v>0</v>
      </c>
      <c r="K13" s="181">
        <f t="shared" si="2"/>
        <v>0</v>
      </c>
    </row>
    <row r="14" spans="1:14" ht="15" customHeight="1" x14ac:dyDescent="0.2">
      <c r="A14" s="226" t="str">
        <f>'Renewables Report'!A45</f>
        <v>Stateline (WA) - FPL Energy Vansycle LLC</v>
      </c>
      <c r="B14" s="173" t="str">
        <f>'Renewables Report'!B45</f>
        <v>W248</v>
      </c>
      <c r="C14" s="174">
        <f>SUM('Renewables Report'!E45)</f>
        <v>3818</v>
      </c>
      <c r="D14" s="153">
        <v>0</v>
      </c>
      <c r="E14" s="181">
        <f t="shared" si="0"/>
        <v>0</v>
      </c>
      <c r="F14" s="280" t="s">
        <v>226</v>
      </c>
      <c r="G14" s="281"/>
      <c r="H14" s="282"/>
      <c r="I14" s="153">
        <v>0</v>
      </c>
      <c r="J14" s="181">
        <f t="shared" si="1"/>
        <v>0</v>
      </c>
      <c r="K14" s="181">
        <f t="shared" si="2"/>
        <v>0</v>
      </c>
    </row>
    <row r="15" spans="1:14" ht="15" customHeight="1" x14ac:dyDescent="0.2">
      <c r="A15" s="226" t="str">
        <f>'Renewables Report'!A46</f>
        <v>Klondike III - Klondike Wind Power III LLC</v>
      </c>
      <c r="B15" s="173" t="str">
        <f>'Renewables Report'!B46</f>
        <v>W237</v>
      </c>
      <c r="C15" s="174">
        <f>SUM('Renewables Report'!E46)</f>
        <v>2737</v>
      </c>
      <c r="D15" s="153">
        <v>0</v>
      </c>
      <c r="E15" s="181">
        <f t="shared" si="0"/>
        <v>0</v>
      </c>
      <c r="F15" s="280" t="s">
        <v>226</v>
      </c>
      <c r="G15" s="281"/>
      <c r="H15" s="282"/>
      <c r="I15" s="153">
        <v>0</v>
      </c>
      <c r="J15" s="181">
        <f t="shared" si="1"/>
        <v>0</v>
      </c>
      <c r="K15" s="181">
        <f t="shared" si="2"/>
        <v>0</v>
      </c>
    </row>
    <row r="16" spans="1:14" ht="15" customHeight="1" x14ac:dyDescent="0.2">
      <c r="A16" s="226" t="str">
        <f>'Renewables Report'!A47</f>
        <v>Klondike I - Klondike Wind Power LLC</v>
      </c>
      <c r="B16" s="173" t="str">
        <f>'Renewables Report'!B47</f>
        <v>W238</v>
      </c>
      <c r="C16" s="174">
        <f>SUM('Renewables Report'!E47)</f>
        <v>1340</v>
      </c>
      <c r="D16" s="153">
        <v>0</v>
      </c>
      <c r="E16" s="181">
        <f t="shared" si="0"/>
        <v>0</v>
      </c>
      <c r="F16" s="280" t="s">
        <v>226</v>
      </c>
      <c r="G16" s="281"/>
      <c r="H16" s="282"/>
      <c r="I16" s="153">
        <v>0</v>
      </c>
      <c r="J16" s="181">
        <f t="shared" si="1"/>
        <v>0</v>
      </c>
      <c r="K16" s="181">
        <f t="shared" si="2"/>
        <v>0</v>
      </c>
    </row>
    <row r="17" spans="1:11" ht="15" customHeight="1" x14ac:dyDescent="0.2">
      <c r="A17" s="172">
        <f>'Renewables Report'!A48</f>
        <v>0</v>
      </c>
      <c r="B17" s="173">
        <f>'Renewables Report'!B48</f>
        <v>0</v>
      </c>
      <c r="C17" s="174">
        <f>SUM('Renewables Report'!E48)</f>
        <v>0</v>
      </c>
      <c r="D17" s="153"/>
      <c r="E17" s="181" t="str">
        <f t="shared" si="0"/>
        <v/>
      </c>
      <c r="F17" s="260"/>
      <c r="G17" s="261"/>
      <c r="H17" s="262"/>
      <c r="I17" s="153"/>
      <c r="J17" s="181" t="str">
        <f t="shared" si="1"/>
        <v/>
      </c>
      <c r="K17" s="181">
        <f t="shared" si="2"/>
        <v>0</v>
      </c>
    </row>
    <row r="18" spans="1:11" ht="15" customHeight="1" x14ac:dyDescent="0.2">
      <c r="A18" s="172">
        <f>'Renewables Report'!A49</f>
        <v>0</v>
      </c>
      <c r="B18" s="173">
        <f>'Renewables Report'!B49</f>
        <v>0</v>
      </c>
      <c r="C18" s="174">
        <f>SUM('Renewables Report'!E49)</f>
        <v>0</v>
      </c>
      <c r="D18" s="153"/>
      <c r="E18" s="181"/>
      <c r="F18" s="260"/>
      <c r="G18" s="261"/>
      <c r="H18" s="262"/>
      <c r="I18" s="153"/>
      <c r="J18" s="181" t="str">
        <f t="shared" si="1"/>
        <v/>
      </c>
      <c r="K18" s="181">
        <f t="shared" si="2"/>
        <v>0</v>
      </c>
    </row>
    <row r="19" spans="1:11" ht="15" customHeight="1" x14ac:dyDescent="0.2">
      <c r="A19" s="172">
        <f>'Renewables Report'!A50</f>
        <v>0</v>
      </c>
      <c r="B19" s="173">
        <f>'Renewables Report'!B50</f>
        <v>0</v>
      </c>
      <c r="C19" s="174">
        <f>SUM('Renewables Report'!E50)</f>
        <v>0</v>
      </c>
      <c r="D19" s="153"/>
      <c r="E19" s="181"/>
      <c r="F19" s="260"/>
      <c r="G19" s="261"/>
      <c r="H19" s="262"/>
      <c r="I19" s="153"/>
      <c r="J19" s="181" t="str">
        <f t="shared" si="1"/>
        <v/>
      </c>
      <c r="K19" s="181">
        <f t="shared" si="2"/>
        <v>0</v>
      </c>
    </row>
    <row r="20" spans="1:11" ht="15" customHeight="1" x14ac:dyDescent="0.2">
      <c r="A20" s="172">
        <f>'Renewables Report'!A51</f>
        <v>0</v>
      </c>
      <c r="B20" s="173">
        <f>'Renewables Report'!B51</f>
        <v>0</v>
      </c>
      <c r="C20" s="174">
        <f>SUM('Renewables Report'!E51)</f>
        <v>0</v>
      </c>
      <c r="D20" s="153"/>
      <c r="E20" s="181" t="str">
        <f t="shared" si="0"/>
        <v/>
      </c>
      <c r="F20" s="260"/>
      <c r="G20" s="261"/>
      <c r="H20" s="262"/>
      <c r="I20" s="153"/>
      <c r="J20" s="181" t="str">
        <f t="shared" si="1"/>
        <v/>
      </c>
      <c r="K20" s="181">
        <f t="shared" si="2"/>
        <v>0</v>
      </c>
    </row>
    <row r="21" spans="1:11" ht="15" customHeight="1" x14ac:dyDescent="0.2">
      <c r="A21" s="172">
        <f>'Renewables Report'!A52</f>
        <v>0</v>
      </c>
      <c r="B21" s="173">
        <f>'Renewables Report'!B52</f>
        <v>0</v>
      </c>
      <c r="C21" s="174">
        <f>SUM('Renewables Report'!E52)</f>
        <v>0</v>
      </c>
      <c r="D21" s="153"/>
      <c r="E21" s="181" t="str">
        <f t="shared" si="0"/>
        <v/>
      </c>
      <c r="F21" s="260"/>
      <c r="G21" s="261"/>
      <c r="H21" s="262"/>
      <c r="I21" s="153"/>
      <c r="J21" s="181" t="str">
        <f t="shared" si="1"/>
        <v/>
      </c>
      <c r="K21" s="181">
        <f t="shared" si="2"/>
        <v>0</v>
      </c>
    </row>
    <row r="22" spans="1:11" ht="15" customHeight="1" x14ac:dyDescent="0.2">
      <c r="A22" s="172">
        <f>'Renewables Report'!A53</f>
        <v>0</v>
      </c>
      <c r="B22" s="173">
        <f>'Renewables Report'!B53</f>
        <v>0</v>
      </c>
      <c r="C22" s="174">
        <f>SUM('Renewables Report'!E53)</f>
        <v>0</v>
      </c>
      <c r="D22" s="153"/>
      <c r="E22" s="181" t="str">
        <f t="shared" si="0"/>
        <v/>
      </c>
      <c r="F22" s="260"/>
      <c r="G22" s="261"/>
      <c r="H22" s="262"/>
      <c r="I22" s="153"/>
      <c r="J22" s="181" t="str">
        <f t="shared" si="1"/>
        <v/>
      </c>
      <c r="K22" s="181">
        <f t="shared" si="2"/>
        <v>0</v>
      </c>
    </row>
    <row r="23" spans="1:11" ht="15" customHeight="1" x14ac:dyDescent="0.2">
      <c r="A23" s="172">
        <f>'Renewables Report'!A54</f>
        <v>0</v>
      </c>
      <c r="B23" s="173">
        <f>'Renewables Report'!B54</f>
        <v>0</v>
      </c>
      <c r="C23" s="174">
        <f>SUM('Renewables Report'!E54)</f>
        <v>0</v>
      </c>
      <c r="D23" s="153"/>
      <c r="E23" s="181" t="str">
        <f t="shared" si="0"/>
        <v/>
      </c>
      <c r="F23" s="260"/>
      <c r="G23" s="261"/>
      <c r="H23" s="262"/>
      <c r="I23" s="153"/>
      <c r="J23" s="181" t="str">
        <f t="shared" si="1"/>
        <v/>
      </c>
      <c r="K23" s="181">
        <f t="shared" si="2"/>
        <v>0</v>
      </c>
    </row>
    <row r="24" spans="1:11" ht="15" customHeight="1" x14ac:dyDescent="0.2">
      <c r="A24" s="172">
        <f>'Renewables Report'!A55</f>
        <v>0</v>
      </c>
      <c r="B24" s="173">
        <f>'Renewables Report'!B55</f>
        <v>0</v>
      </c>
      <c r="C24" s="174">
        <f>SUM('Renewables Report'!E55)</f>
        <v>0</v>
      </c>
      <c r="D24" s="153"/>
      <c r="E24" s="181" t="str">
        <f t="shared" si="0"/>
        <v/>
      </c>
      <c r="F24" s="260"/>
      <c r="G24" s="261"/>
      <c r="H24" s="262"/>
      <c r="I24" s="153"/>
      <c r="J24" s="181" t="str">
        <f t="shared" si="1"/>
        <v/>
      </c>
      <c r="K24" s="181">
        <f t="shared" si="2"/>
        <v>0</v>
      </c>
    </row>
    <row r="25" spans="1:11" ht="15" customHeight="1" x14ac:dyDescent="0.2">
      <c r="A25" s="172">
        <f>'Renewables Report'!A56</f>
        <v>0</v>
      </c>
      <c r="B25" s="173">
        <f>'Renewables Report'!B56</f>
        <v>0</v>
      </c>
      <c r="C25" s="174">
        <f>SUM('Renewables Report'!E56)</f>
        <v>0</v>
      </c>
      <c r="D25" s="153"/>
      <c r="E25" s="181" t="str">
        <f t="shared" si="0"/>
        <v/>
      </c>
      <c r="F25" s="260"/>
      <c r="G25" s="261"/>
      <c r="H25" s="262"/>
      <c r="I25" s="153"/>
      <c r="J25" s="181" t="str">
        <f t="shared" si="1"/>
        <v/>
      </c>
      <c r="K25" s="181">
        <f t="shared" si="2"/>
        <v>0</v>
      </c>
    </row>
    <row r="26" spans="1:11" ht="15" customHeight="1" x14ac:dyDescent="0.2">
      <c r="A26" s="172">
        <f>'Renewables Report'!A57</f>
        <v>0</v>
      </c>
      <c r="B26" s="173">
        <f>'Renewables Report'!B57</f>
        <v>0</v>
      </c>
      <c r="C26" s="174">
        <f>SUM('Renewables Report'!E57)</f>
        <v>0</v>
      </c>
      <c r="D26" s="153"/>
      <c r="E26" s="181" t="str">
        <f t="shared" si="0"/>
        <v/>
      </c>
      <c r="F26" s="260"/>
      <c r="G26" s="261"/>
      <c r="H26" s="262"/>
      <c r="I26" s="153"/>
      <c r="J26" s="181" t="str">
        <f t="shared" si="1"/>
        <v/>
      </c>
      <c r="K26" s="181">
        <f t="shared" si="2"/>
        <v>0</v>
      </c>
    </row>
    <row r="27" spans="1:11" ht="15" customHeight="1" x14ac:dyDescent="0.2">
      <c r="A27" s="172">
        <f>'Renewables Report'!A58</f>
        <v>0</v>
      </c>
      <c r="B27" s="173">
        <f>'Renewables Report'!B58</f>
        <v>0</v>
      </c>
      <c r="C27" s="174">
        <f>SUM('Renewables Report'!E58)</f>
        <v>0</v>
      </c>
      <c r="D27" s="153"/>
      <c r="E27" s="181" t="str">
        <f t="shared" si="0"/>
        <v/>
      </c>
      <c r="F27" s="260"/>
      <c r="G27" s="261"/>
      <c r="H27" s="262"/>
      <c r="I27" s="153"/>
      <c r="J27" s="181" t="str">
        <f t="shared" si="1"/>
        <v/>
      </c>
      <c r="K27" s="181">
        <f t="shared" si="2"/>
        <v>0</v>
      </c>
    </row>
    <row r="28" spans="1:11" ht="15" customHeight="1" x14ac:dyDescent="0.2">
      <c r="A28" s="172">
        <f>'Renewables Report'!A59</f>
        <v>0</v>
      </c>
      <c r="B28" s="173">
        <f>'Renewables Report'!B59</f>
        <v>0</v>
      </c>
      <c r="C28" s="174">
        <f>SUM('Renewables Report'!E59)</f>
        <v>0</v>
      </c>
      <c r="D28" s="153"/>
      <c r="E28" s="181" t="str">
        <f t="shared" si="0"/>
        <v/>
      </c>
      <c r="F28" s="260"/>
      <c r="G28" s="261"/>
      <c r="H28" s="262"/>
      <c r="I28" s="153"/>
      <c r="J28" s="181" t="str">
        <f t="shared" si="1"/>
        <v/>
      </c>
      <c r="K28" s="181">
        <f t="shared" si="2"/>
        <v>0</v>
      </c>
    </row>
    <row r="29" spans="1:11" ht="15" customHeight="1" x14ac:dyDescent="0.2">
      <c r="A29" s="175">
        <f>'Renewables Report'!A60</f>
        <v>0</v>
      </c>
      <c r="B29" s="176">
        <f>'Renewables Report'!B60</f>
        <v>0</v>
      </c>
      <c r="C29" s="177">
        <f>SUM('Renewables Report'!E60)</f>
        <v>0</v>
      </c>
      <c r="D29" s="154"/>
      <c r="E29" s="182" t="str">
        <f t="shared" si="0"/>
        <v/>
      </c>
      <c r="F29" s="270"/>
      <c r="G29" s="271"/>
      <c r="H29" s="272"/>
      <c r="I29" s="154"/>
      <c r="J29" s="182" t="str">
        <f t="shared" si="1"/>
        <v/>
      </c>
      <c r="K29" s="182">
        <f t="shared" si="2"/>
        <v>0</v>
      </c>
    </row>
    <row r="30" spans="1:11" ht="15" customHeight="1" x14ac:dyDescent="0.2">
      <c r="A30" s="178" t="s">
        <v>97</v>
      </c>
      <c r="B30" s="178"/>
      <c r="C30" s="179">
        <f>SUM(C9:C29)</f>
        <v>94829</v>
      </c>
      <c r="D30" s="183">
        <f>SUM(D9:D29)</f>
        <v>5507259</v>
      </c>
      <c r="E30" s="183"/>
      <c r="F30" s="183"/>
      <c r="G30" s="183"/>
      <c r="H30" s="183"/>
      <c r="I30" s="183">
        <f>SUM(I9:I29)</f>
        <v>2449363</v>
      </c>
      <c r="J30" s="184"/>
      <c r="K30" s="183">
        <f>SUM(K9:K29)</f>
        <v>3057896</v>
      </c>
    </row>
    <row r="31" spans="1:11" ht="15" customHeight="1" x14ac:dyDescent="0.2">
      <c r="D31" s="75"/>
      <c r="E31" s="75"/>
      <c r="F31" s="75"/>
      <c r="G31" s="75"/>
      <c r="H31" s="75"/>
      <c r="I31" s="75"/>
      <c r="J31" s="75"/>
      <c r="K31" s="75"/>
    </row>
    <row r="32" spans="1:11" ht="17.25" customHeight="1" x14ac:dyDescent="0.25">
      <c r="A32" s="145" t="s">
        <v>100</v>
      </c>
      <c r="B32" s="155"/>
      <c r="C32" s="146"/>
      <c r="D32" s="83" t="s">
        <v>4</v>
      </c>
      <c r="E32" s="291" t="str">
        <f>E5</f>
        <v>Public Utility District No. 1 of Benton County</v>
      </c>
      <c r="F32" s="292"/>
      <c r="G32" s="293"/>
    </row>
    <row r="33" spans="1:11" ht="15" customHeight="1" x14ac:dyDescent="0.2">
      <c r="A33" s="155"/>
      <c r="B33" s="155"/>
      <c r="D33" s="83" t="s">
        <v>12</v>
      </c>
      <c r="E33" s="294">
        <v>2016</v>
      </c>
      <c r="F33" s="295"/>
      <c r="G33" s="296"/>
    </row>
    <row r="34" spans="1:11" ht="15" customHeight="1" x14ac:dyDescent="0.2">
      <c r="A34" s="83"/>
      <c r="B34" s="83"/>
      <c r="C34" s="83"/>
      <c r="D34" s="143"/>
      <c r="G34" s="156"/>
      <c r="H34" s="75"/>
    </row>
    <row r="35" spans="1:11" s="158" customFormat="1" x14ac:dyDescent="0.2">
      <c r="A35" s="83"/>
      <c r="B35" s="83"/>
      <c r="C35" s="83"/>
      <c r="D35" s="157"/>
      <c r="E35" s="157"/>
      <c r="F35" s="157"/>
      <c r="H35" s="157"/>
      <c r="I35" s="157"/>
      <c r="J35" s="157"/>
      <c r="K35" s="157"/>
    </row>
    <row r="36" spans="1:11" ht="38.25" x14ac:dyDescent="0.2">
      <c r="A36" s="148" t="s">
        <v>18</v>
      </c>
      <c r="B36" s="159" t="s">
        <v>30</v>
      </c>
      <c r="C36" s="160" t="s">
        <v>127</v>
      </c>
      <c r="D36" s="160" t="s">
        <v>105</v>
      </c>
      <c r="E36" s="151" t="s">
        <v>106</v>
      </c>
      <c r="F36" s="151" t="s">
        <v>107</v>
      </c>
      <c r="G36" s="286" t="s">
        <v>37</v>
      </c>
      <c r="H36" s="287"/>
      <c r="I36" s="287"/>
      <c r="J36" s="287"/>
      <c r="K36" s="288"/>
    </row>
    <row r="37" spans="1:11" ht="15" customHeight="1" x14ac:dyDescent="0.2">
      <c r="A37" s="185" t="str">
        <f>'Renewables Report'!A67</f>
        <v>Payne's Ferry Wind Park - Payne's Ferry Wind Park</v>
      </c>
      <c r="B37" s="186" t="str">
        <f>'Renewables Report'!B67</f>
        <v>W1866</v>
      </c>
      <c r="C37" s="187">
        <f>'Renewables Report'!C67</f>
        <v>2015</v>
      </c>
      <c r="D37" s="171">
        <f>'Renewables Report'!G67</f>
        <v>27573</v>
      </c>
      <c r="E37" s="166">
        <v>103398</v>
      </c>
      <c r="F37" s="197">
        <f>IF(D37&gt;0,E37/D37,"")</f>
        <v>3.7499727994777499</v>
      </c>
      <c r="G37" s="161"/>
      <c r="H37" s="75"/>
      <c r="I37" s="75"/>
      <c r="J37" s="75"/>
      <c r="K37" s="162"/>
    </row>
    <row r="38" spans="1:11" ht="15" customHeight="1" x14ac:dyDescent="0.2">
      <c r="A38" s="188" t="str">
        <f>'Renewables Report'!A68</f>
        <v>LRI LFGTE Facility - Phase 1 - LRI LFGTE Facility - Phase 1</v>
      </c>
      <c r="B38" s="189" t="str">
        <f>'Renewables Report'!B68</f>
        <v>W3845</v>
      </c>
      <c r="C38" s="190">
        <f>'Renewables Report'!C68</f>
        <v>2016</v>
      </c>
      <c r="D38" s="174">
        <f>'Renewables Report'!G68</f>
        <v>17984</v>
      </c>
      <c r="E38" s="167">
        <v>286440</v>
      </c>
      <c r="F38" s="198">
        <f>IF(D38&gt;0,E38/D38,"")</f>
        <v>15.927491103202847</v>
      </c>
      <c r="G38" s="161"/>
      <c r="H38" s="75"/>
      <c r="I38" s="75"/>
      <c r="J38" s="75"/>
      <c r="K38" s="162"/>
    </row>
    <row r="39" spans="1:11" ht="15" customHeight="1" x14ac:dyDescent="0.2">
      <c r="A39" s="188">
        <f>'Renewables Report'!A69</f>
        <v>0</v>
      </c>
      <c r="B39" s="189">
        <f>'Renewables Report'!B69</f>
        <v>0</v>
      </c>
      <c r="C39" s="190">
        <f>'Renewables Report'!C69</f>
        <v>0</v>
      </c>
      <c r="D39" s="174">
        <f>'Renewables Report'!G69</f>
        <v>0</v>
      </c>
      <c r="E39" s="167"/>
      <c r="F39" s="198" t="str">
        <f t="shared" ref="F39:F61" si="3">IF(D39&gt;0,E39/D39,"")</f>
        <v/>
      </c>
      <c r="G39" s="161"/>
      <c r="H39" s="75"/>
      <c r="I39" s="75"/>
      <c r="J39" s="75"/>
      <c r="K39" s="162"/>
    </row>
    <row r="40" spans="1:11" ht="15" customHeight="1" x14ac:dyDescent="0.2">
      <c r="A40" s="188">
        <f>'Renewables Report'!A70</f>
        <v>0</v>
      </c>
      <c r="B40" s="189">
        <f>'Renewables Report'!B70</f>
        <v>0</v>
      </c>
      <c r="C40" s="190">
        <f>'Renewables Report'!C70</f>
        <v>0</v>
      </c>
      <c r="D40" s="174">
        <f>'Renewables Report'!G70</f>
        <v>0</v>
      </c>
      <c r="E40" s="167"/>
      <c r="F40" s="198" t="str">
        <f t="shared" si="3"/>
        <v/>
      </c>
      <c r="G40" s="161"/>
      <c r="H40" s="75"/>
      <c r="I40" s="75"/>
      <c r="J40" s="75"/>
      <c r="K40" s="162"/>
    </row>
    <row r="41" spans="1:11" ht="15" customHeight="1" x14ac:dyDescent="0.2">
      <c r="A41" s="188">
        <f>'Renewables Report'!A71</f>
        <v>0</v>
      </c>
      <c r="B41" s="189">
        <f>'Renewables Report'!B71</f>
        <v>0</v>
      </c>
      <c r="C41" s="190">
        <f>'Renewables Report'!C71</f>
        <v>0</v>
      </c>
      <c r="D41" s="174">
        <f>'Renewables Report'!G71</f>
        <v>0</v>
      </c>
      <c r="E41" s="167"/>
      <c r="F41" s="198" t="str">
        <f t="shared" si="3"/>
        <v/>
      </c>
      <c r="G41" s="161"/>
      <c r="H41" s="75"/>
      <c r="I41" s="75"/>
      <c r="J41" s="75"/>
      <c r="K41" s="162"/>
    </row>
    <row r="42" spans="1:11" ht="15" customHeight="1" x14ac:dyDescent="0.2">
      <c r="A42" s="188">
        <f>'Renewables Report'!A72</f>
        <v>0</v>
      </c>
      <c r="B42" s="189">
        <f>'Renewables Report'!B72</f>
        <v>0</v>
      </c>
      <c r="C42" s="190">
        <f>'Renewables Report'!C72</f>
        <v>0</v>
      </c>
      <c r="D42" s="174">
        <f>'Renewables Report'!G72</f>
        <v>0</v>
      </c>
      <c r="E42" s="167"/>
      <c r="F42" s="198" t="str">
        <f>IF(D42&gt;0,E42/D42,"")</f>
        <v/>
      </c>
      <c r="G42" s="161"/>
      <c r="H42" s="75"/>
      <c r="I42" s="75"/>
      <c r="J42" s="75"/>
      <c r="K42" s="162"/>
    </row>
    <row r="43" spans="1:11" ht="15" customHeight="1" x14ac:dyDescent="0.2">
      <c r="A43" s="188">
        <f>'Renewables Report'!A73</f>
        <v>0</v>
      </c>
      <c r="B43" s="189">
        <f>'Renewables Report'!B73</f>
        <v>0</v>
      </c>
      <c r="C43" s="190">
        <f>'Renewables Report'!C73</f>
        <v>0</v>
      </c>
      <c r="D43" s="174">
        <f>'Renewables Report'!G73</f>
        <v>0</v>
      </c>
      <c r="E43" s="167"/>
      <c r="F43" s="198" t="str">
        <f>IF(D43&gt;0,E43/D43,"")</f>
        <v/>
      </c>
      <c r="G43" s="161"/>
      <c r="H43" s="75"/>
      <c r="I43" s="75"/>
      <c r="J43" s="75"/>
      <c r="K43" s="162"/>
    </row>
    <row r="44" spans="1:11" ht="15" customHeight="1" x14ac:dyDescent="0.2">
      <c r="A44" s="188">
        <f>'Renewables Report'!A74</f>
        <v>0</v>
      </c>
      <c r="B44" s="189">
        <f>'Renewables Report'!B74</f>
        <v>0</v>
      </c>
      <c r="C44" s="190">
        <f>'Renewables Report'!C74</f>
        <v>0</v>
      </c>
      <c r="D44" s="174">
        <f>'Renewables Report'!G74</f>
        <v>0</v>
      </c>
      <c r="E44" s="167"/>
      <c r="F44" s="198" t="str">
        <f t="shared" si="3"/>
        <v/>
      </c>
      <c r="G44" s="161"/>
      <c r="H44" s="75"/>
      <c r="I44" s="75"/>
      <c r="J44" s="75"/>
      <c r="K44" s="162"/>
    </row>
    <row r="45" spans="1:11" ht="15" customHeight="1" x14ac:dyDescent="0.2">
      <c r="A45" s="188">
        <f>'Renewables Report'!A75</f>
        <v>0</v>
      </c>
      <c r="B45" s="189">
        <f>'Renewables Report'!B75</f>
        <v>0</v>
      </c>
      <c r="C45" s="190">
        <f>'Renewables Report'!C75</f>
        <v>0</v>
      </c>
      <c r="D45" s="174">
        <f>'Renewables Report'!G75</f>
        <v>0</v>
      </c>
      <c r="E45" s="167"/>
      <c r="F45" s="198" t="str">
        <f t="shared" si="3"/>
        <v/>
      </c>
      <c r="G45" s="161"/>
      <c r="H45" s="75"/>
      <c r="I45" s="75"/>
      <c r="J45" s="75"/>
      <c r="K45" s="162"/>
    </row>
    <row r="46" spans="1:11" ht="15" customHeight="1" x14ac:dyDescent="0.2">
      <c r="A46" s="188">
        <f>'Renewables Report'!A76</f>
        <v>0</v>
      </c>
      <c r="B46" s="189">
        <f>'Renewables Report'!B76</f>
        <v>0</v>
      </c>
      <c r="C46" s="190">
        <f>'Renewables Report'!C76</f>
        <v>0</v>
      </c>
      <c r="D46" s="174">
        <f>'Renewables Report'!G76</f>
        <v>0</v>
      </c>
      <c r="E46" s="167"/>
      <c r="F46" s="198" t="str">
        <f t="shared" si="3"/>
        <v/>
      </c>
      <c r="G46" s="161"/>
      <c r="H46" s="75"/>
      <c r="I46" s="75"/>
      <c r="J46" s="75"/>
      <c r="K46" s="162"/>
    </row>
    <row r="47" spans="1:11" ht="15" customHeight="1" x14ac:dyDescent="0.2">
      <c r="A47" s="188">
        <f>'Renewables Report'!A77</f>
        <v>0</v>
      </c>
      <c r="B47" s="189">
        <f>'Renewables Report'!B77</f>
        <v>0</v>
      </c>
      <c r="C47" s="190">
        <f>'Renewables Report'!C77</f>
        <v>0</v>
      </c>
      <c r="D47" s="174">
        <f>'Renewables Report'!G77</f>
        <v>0</v>
      </c>
      <c r="E47" s="167"/>
      <c r="F47" s="198" t="str">
        <f t="shared" si="3"/>
        <v/>
      </c>
      <c r="G47" s="161"/>
      <c r="H47" s="75"/>
      <c r="I47" s="75"/>
      <c r="J47" s="75"/>
      <c r="K47" s="162"/>
    </row>
    <row r="48" spans="1:11" ht="15" customHeight="1" x14ac:dyDescent="0.2">
      <c r="A48" s="188">
        <f>'Renewables Report'!A78</f>
        <v>0</v>
      </c>
      <c r="B48" s="189">
        <f>'Renewables Report'!B78</f>
        <v>0</v>
      </c>
      <c r="C48" s="190">
        <f>'Renewables Report'!C78</f>
        <v>0</v>
      </c>
      <c r="D48" s="174">
        <f>'Renewables Report'!G78</f>
        <v>0</v>
      </c>
      <c r="E48" s="167"/>
      <c r="F48" s="198" t="str">
        <f t="shared" si="3"/>
        <v/>
      </c>
      <c r="G48" s="161"/>
      <c r="H48" s="75"/>
      <c r="I48" s="75"/>
      <c r="J48" s="75"/>
      <c r="K48" s="162"/>
    </row>
    <row r="49" spans="1:11" ht="15" customHeight="1" x14ac:dyDescent="0.2">
      <c r="A49" s="188">
        <f>'Renewables Report'!A79</f>
        <v>0</v>
      </c>
      <c r="B49" s="189">
        <f>'Renewables Report'!B79</f>
        <v>0</v>
      </c>
      <c r="C49" s="190">
        <f>'Renewables Report'!C79</f>
        <v>0</v>
      </c>
      <c r="D49" s="174">
        <f>'Renewables Report'!G79</f>
        <v>0</v>
      </c>
      <c r="E49" s="167"/>
      <c r="F49" s="198" t="str">
        <f t="shared" si="3"/>
        <v/>
      </c>
      <c r="G49" s="161"/>
      <c r="H49" s="75"/>
      <c r="I49" s="75"/>
      <c r="J49" s="75"/>
      <c r="K49" s="162"/>
    </row>
    <row r="50" spans="1:11" ht="15" customHeight="1" x14ac:dyDescent="0.2">
      <c r="A50" s="188">
        <f>'Renewables Report'!A80</f>
        <v>0</v>
      </c>
      <c r="B50" s="189">
        <f>'Renewables Report'!B80</f>
        <v>0</v>
      </c>
      <c r="C50" s="190">
        <f>'Renewables Report'!C80</f>
        <v>0</v>
      </c>
      <c r="D50" s="174">
        <f>'Renewables Report'!G80</f>
        <v>0</v>
      </c>
      <c r="E50" s="167"/>
      <c r="F50" s="198" t="str">
        <f t="shared" si="3"/>
        <v/>
      </c>
      <c r="G50" s="161"/>
      <c r="H50" s="75"/>
      <c r="I50" s="75"/>
      <c r="J50" s="75"/>
      <c r="K50" s="162"/>
    </row>
    <row r="51" spans="1:11" ht="15" customHeight="1" x14ac:dyDescent="0.2">
      <c r="A51" s="188">
        <f>'Renewables Report'!A81</f>
        <v>0</v>
      </c>
      <c r="B51" s="189">
        <f>'Renewables Report'!B81</f>
        <v>0</v>
      </c>
      <c r="C51" s="190">
        <f>'Renewables Report'!C81</f>
        <v>0</v>
      </c>
      <c r="D51" s="174">
        <f>'Renewables Report'!G81</f>
        <v>0</v>
      </c>
      <c r="E51" s="167"/>
      <c r="F51" s="198" t="str">
        <f t="shared" si="3"/>
        <v/>
      </c>
      <c r="G51" s="161"/>
      <c r="H51" s="75"/>
      <c r="I51" s="75"/>
      <c r="J51" s="75"/>
      <c r="K51" s="162"/>
    </row>
    <row r="52" spans="1:11" ht="15" customHeight="1" x14ac:dyDescent="0.2">
      <c r="A52" s="188">
        <f>'Renewables Report'!A82</f>
        <v>0</v>
      </c>
      <c r="B52" s="189">
        <f>'Renewables Report'!B82</f>
        <v>0</v>
      </c>
      <c r="C52" s="190">
        <f>'Renewables Report'!C82</f>
        <v>0</v>
      </c>
      <c r="D52" s="174">
        <f>'Renewables Report'!G82</f>
        <v>0</v>
      </c>
      <c r="E52" s="167"/>
      <c r="F52" s="198" t="str">
        <f t="shared" si="3"/>
        <v/>
      </c>
      <c r="G52" s="161"/>
      <c r="H52" s="75"/>
      <c r="I52" s="75"/>
      <c r="J52" s="75"/>
      <c r="K52" s="162"/>
    </row>
    <row r="53" spans="1:11" ht="15" customHeight="1" x14ac:dyDescent="0.2">
      <c r="A53" s="188">
        <f>'Renewables Report'!A83</f>
        <v>0</v>
      </c>
      <c r="B53" s="189">
        <f>'Renewables Report'!B83</f>
        <v>0</v>
      </c>
      <c r="C53" s="190">
        <f>'Renewables Report'!C83</f>
        <v>0</v>
      </c>
      <c r="D53" s="174">
        <f>'Renewables Report'!G83</f>
        <v>0</v>
      </c>
      <c r="E53" s="167"/>
      <c r="F53" s="198" t="str">
        <f t="shared" si="3"/>
        <v/>
      </c>
      <c r="G53" s="161"/>
      <c r="H53" s="75"/>
      <c r="I53" s="75"/>
      <c r="J53" s="75"/>
      <c r="K53" s="162"/>
    </row>
    <row r="54" spans="1:11" ht="15" customHeight="1" x14ac:dyDescent="0.2">
      <c r="A54" s="188">
        <f>'Renewables Report'!A84</f>
        <v>0</v>
      </c>
      <c r="B54" s="189">
        <f>'Renewables Report'!B84</f>
        <v>0</v>
      </c>
      <c r="C54" s="190">
        <f>'Renewables Report'!C84</f>
        <v>0</v>
      </c>
      <c r="D54" s="174">
        <f>'Renewables Report'!G84</f>
        <v>0</v>
      </c>
      <c r="E54" s="167"/>
      <c r="F54" s="198" t="str">
        <f t="shared" si="3"/>
        <v/>
      </c>
      <c r="G54" s="161"/>
      <c r="H54" s="75"/>
      <c r="I54" s="75"/>
      <c r="J54" s="75"/>
      <c r="K54" s="162"/>
    </row>
    <row r="55" spans="1:11" ht="15" customHeight="1" x14ac:dyDescent="0.2">
      <c r="A55" s="188">
        <f>'Renewables Report'!A85</f>
        <v>0</v>
      </c>
      <c r="B55" s="189">
        <f>'Renewables Report'!B85</f>
        <v>0</v>
      </c>
      <c r="C55" s="190">
        <f>'Renewables Report'!C85</f>
        <v>0</v>
      </c>
      <c r="D55" s="174">
        <f>'Renewables Report'!G85</f>
        <v>0</v>
      </c>
      <c r="E55" s="167"/>
      <c r="F55" s="198" t="str">
        <f t="shared" si="3"/>
        <v/>
      </c>
      <c r="G55" s="161"/>
      <c r="H55" s="75"/>
      <c r="I55" s="75"/>
      <c r="J55" s="75"/>
      <c r="K55" s="162"/>
    </row>
    <row r="56" spans="1:11" ht="15" customHeight="1" x14ac:dyDescent="0.2">
      <c r="A56" s="188">
        <f>'Renewables Report'!A86</f>
        <v>0</v>
      </c>
      <c r="B56" s="189">
        <f>'Renewables Report'!B86</f>
        <v>0</v>
      </c>
      <c r="C56" s="190">
        <f>'Renewables Report'!C86</f>
        <v>0</v>
      </c>
      <c r="D56" s="174">
        <f>'Renewables Report'!G86</f>
        <v>0</v>
      </c>
      <c r="E56" s="167"/>
      <c r="F56" s="198" t="str">
        <f t="shared" si="3"/>
        <v/>
      </c>
      <c r="G56" s="161"/>
      <c r="H56" s="75"/>
      <c r="I56" s="75"/>
      <c r="J56" s="75"/>
      <c r="K56" s="162"/>
    </row>
    <row r="57" spans="1:11" ht="15" customHeight="1" x14ac:dyDescent="0.2">
      <c r="A57" s="188">
        <f>'Renewables Report'!A87</f>
        <v>0</v>
      </c>
      <c r="B57" s="189">
        <f>'Renewables Report'!B87</f>
        <v>0</v>
      </c>
      <c r="C57" s="190">
        <f>'Renewables Report'!C87</f>
        <v>0</v>
      </c>
      <c r="D57" s="174">
        <f>'Renewables Report'!G87</f>
        <v>0</v>
      </c>
      <c r="E57" s="167"/>
      <c r="F57" s="198" t="str">
        <f t="shared" si="3"/>
        <v/>
      </c>
      <c r="G57" s="161"/>
      <c r="H57" s="75"/>
      <c r="I57" s="75"/>
      <c r="J57" s="75"/>
      <c r="K57" s="162"/>
    </row>
    <row r="58" spans="1:11" ht="15" customHeight="1" x14ac:dyDescent="0.2">
      <c r="A58" s="188">
        <f>'Renewables Report'!A88</f>
        <v>0</v>
      </c>
      <c r="B58" s="189">
        <f>'Renewables Report'!B88</f>
        <v>0</v>
      </c>
      <c r="C58" s="190">
        <f>'Renewables Report'!C88</f>
        <v>0</v>
      </c>
      <c r="D58" s="174">
        <f>'Renewables Report'!G88</f>
        <v>0</v>
      </c>
      <c r="E58" s="167"/>
      <c r="F58" s="198" t="str">
        <f t="shared" si="3"/>
        <v/>
      </c>
      <c r="G58" s="161"/>
      <c r="H58" s="75"/>
      <c r="I58" s="75"/>
      <c r="J58" s="75"/>
      <c r="K58" s="162"/>
    </row>
    <row r="59" spans="1:11" ht="15" customHeight="1" x14ac:dyDescent="0.2">
      <c r="A59" s="188">
        <f>'Renewables Report'!A89</f>
        <v>0</v>
      </c>
      <c r="B59" s="189">
        <f>'Renewables Report'!B89</f>
        <v>0</v>
      </c>
      <c r="C59" s="190">
        <f>'Renewables Report'!C89</f>
        <v>0</v>
      </c>
      <c r="D59" s="174">
        <f>'Renewables Report'!G89</f>
        <v>0</v>
      </c>
      <c r="E59" s="167"/>
      <c r="F59" s="198" t="str">
        <f t="shared" si="3"/>
        <v/>
      </c>
      <c r="G59" s="161"/>
      <c r="H59" s="75"/>
      <c r="I59" s="75"/>
      <c r="J59" s="75"/>
      <c r="K59" s="162"/>
    </row>
    <row r="60" spans="1:11" ht="15" customHeight="1" x14ac:dyDescent="0.2">
      <c r="A60" s="188">
        <f>'Renewables Report'!A90</f>
        <v>0</v>
      </c>
      <c r="B60" s="189">
        <f>'Renewables Report'!B90</f>
        <v>0</v>
      </c>
      <c r="C60" s="190">
        <f>'Renewables Report'!C90</f>
        <v>0</v>
      </c>
      <c r="D60" s="174">
        <f>'Renewables Report'!G90</f>
        <v>0</v>
      </c>
      <c r="E60" s="167"/>
      <c r="F60" s="198" t="str">
        <f t="shared" si="3"/>
        <v/>
      </c>
      <c r="G60" s="161"/>
      <c r="H60" s="75"/>
      <c r="I60" s="75"/>
      <c r="J60" s="75"/>
      <c r="K60" s="162"/>
    </row>
    <row r="61" spans="1:11" ht="15" customHeight="1" x14ac:dyDescent="0.2">
      <c r="A61" s="191">
        <f>'Renewables Report'!A91</f>
        <v>0</v>
      </c>
      <c r="B61" s="192">
        <f>'Renewables Report'!B91</f>
        <v>0</v>
      </c>
      <c r="C61" s="193">
        <f>'Renewables Report'!C91</f>
        <v>0</v>
      </c>
      <c r="D61" s="194">
        <f>'Renewables Report'!G91</f>
        <v>0</v>
      </c>
      <c r="E61" s="168"/>
      <c r="F61" s="199" t="str">
        <f t="shared" si="3"/>
        <v/>
      </c>
      <c r="G61" s="161"/>
      <c r="H61" s="75"/>
      <c r="I61" s="75"/>
      <c r="J61" s="75"/>
      <c r="K61" s="162"/>
    </row>
    <row r="62" spans="1:11" ht="15" customHeight="1" x14ac:dyDescent="0.2">
      <c r="A62" s="178" t="s">
        <v>5</v>
      </c>
      <c r="B62" s="195"/>
      <c r="C62" s="195"/>
      <c r="D62" s="196"/>
      <c r="E62" s="183">
        <f>SUM(E37:E61)</f>
        <v>389838</v>
      </c>
      <c r="F62" s="196"/>
      <c r="G62" s="163"/>
      <c r="H62" s="164"/>
      <c r="I62" s="164"/>
      <c r="J62" s="164"/>
      <c r="K62" s="165"/>
    </row>
  </sheetData>
  <mergeCells count="29">
    <mergeCell ref="G36:K36"/>
    <mergeCell ref="A1:K1"/>
    <mergeCell ref="A2:K2"/>
    <mergeCell ref="F22:H22"/>
    <mergeCell ref="E32:G32"/>
    <mergeCell ref="E33:G33"/>
    <mergeCell ref="E5:G5"/>
    <mergeCell ref="E6:G6"/>
    <mergeCell ref="F23:H23"/>
    <mergeCell ref="F24:H24"/>
    <mergeCell ref="F25:H25"/>
    <mergeCell ref="F26:H26"/>
    <mergeCell ref="F27:H27"/>
    <mergeCell ref="F28:H28"/>
    <mergeCell ref="F29:H29"/>
    <mergeCell ref="F8:H8"/>
    <mergeCell ref="F9:H9"/>
    <mergeCell ref="F10:H10"/>
    <mergeCell ref="F11:H11"/>
    <mergeCell ref="F12:H12"/>
    <mergeCell ref="F13:H13"/>
    <mergeCell ref="F19:H19"/>
    <mergeCell ref="F20:H20"/>
    <mergeCell ref="F21:H21"/>
    <mergeCell ref="F14:H14"/>
    <mergeCell ref="F15:H15"/>
    <mergeCell ref="F16:H16"/>
    <mergeCell ref="F17:H17"/>
    <mergeCell ref="F18:H18"/>
  </mergeCells>
  <pageMargins left="0.7" right="0.7" top="0.75" bottom="0.75" header="0.3" footer="0.3"/>
  <pageSetup scale="79" fitToHeight="0" orientation="landscape" r:id="rId1"/>
  <rowBreaks count="1" manualBreakCount="1">
    <brk id="30"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5"/>
  <sheetViews>
    <sheetView workbookViewId="0"/>
  </sheetViews>
  <sheetFormatPr defaultRowHeight="15" x14ac:dyDescent="0.25"/>
  <cols>
    <col min="1" max="1" width="36.140625" bestFit="1" customWidth="1"/>
    <col min="3" max="3" width="36.140625" bestFit="1" customWidth="1"/>
    <col min="12" max="12" width="10.5703125" customWidth="1"/>
  </cols>
  <sheetData>
    <row r="1" spans="1:86" x14ac:dyDescent="0.25">
      <c r="A1" t="s">
        <v>194</v>
      </c>
      <c r="B1" t="s">
        <v>74</v>
      </c>
      <c r="C1" t="s">
        <v>75</v>
      </c>
      <c r="D1" t="s">
        <v>76</v>
      </c>
      <c r="E1" t="s">
        <v>77</v>
      </c>
      <c r="F1" t="s">
        <v>78</v>
      </c>
      <c r="G1" t="s">
        <v>79</v>
      </c>
      <c r="H1" t="s">
        <v>80</v>
      </c>
      <c r="I1" t="s">
        <v>81</v>
      </c>
      <c r="J1" t="s">
        <v>82</v>
      </c>
      <c r="K1" t="s">
        <v>83</v>
      </c>
      <c r="L1" t="s">
        <v>101</v>
      </c>
      <c r="M1" t="s">
        <v>102</v>
      </c>
      <c r="N1" t="s">
        <v>84</v>
      </c>
      <c r="O1" t="s">
        <v>85</v>
      </c>
      <c r="P1" t="s">
        <v>86</v>
      </c>
      <c r="Q1" t="s">
        <v>87</v>
      </c>
      <c r="R1" t="s">
        <v>88</v>
      </c>
      <c r="S1" t="s">
        <v>89</v>
      </c>
      <c r="T1" t="s">
        <v>90</v>
      </c>
      <c r="U1" t="s">
        <v>91</v>
      </c>
      <c r="V1" t="s">
        <v>92</v>
      </c>
      <c r="W1" t="s">
        <v>93</v>
      </c>
      <c r="X1" t="s">
        <v>160</v>
      </c>
      <c r="Y1" t="s">
        <v>161</v>
      </c>
      <c r="Z1" t="s">
        <v>151</v>
      </c>
      <c r="AA1" t="s">
        <v>140</v>
      </c>
      <c r="AB1" t="s">
        <v>162</v>
      </c>
      <c r="AC1" t="s">
        <v>163</v>
      </c>
      <c r="AD1" t="s">
        <v>164</v>
      </c>
      <c r="AE1" t="s">
        <v>165</v>
      </c>
      <c r="AF1" t="s">
        <v>141</v>
      </c>
      <c r="AG1" t="s">
        <v>166</v>
      </c>
      <c r="AH1" t="s">
        <v>167</v>
      </c>
      <c r="AI1" t="s">
        <v>168</v>
      </c>
      <c r="AJ1" t="s">
        <v>152</v>
      </c>
      <c r="AK1" t="s">
        <v>153</v>
      </c>
      <c r="AL1" t="s">
        <v>154</v>
      </c>
      <c r="AM1" t="s">
        <v>155</v>
      </c>
      <c r="AN1" t="s">
        <v>156</v>
      </c>
      <c r="AO1" t="s">
        <v>157</v>
      </c>
      <c r="AP1" t="s">
        <v>158</v>
      </c>
      <c r="AQ1" t="s">
        <v>159</v>
      </c>
      <c r="AR1" t="s">
        <v>169</v>
      </c>
      <c r="AS1" t="s">
        <v>142</v>
      </c>
      <c r="AT1" t="s">
        <v>41</v>
      </c>
      <c r="AU1" t="s">
        <v>42</v>
      </c>
      <c r="AV1" t="s">
        <v>43</v>
      </c>
      <c r="AW1" t="s">
        <v>143</v>
      </c>
      <c r="AX1" t="s">
        <v>144</v>
      </c>
      <c r="AY1" t="s">
        <v>44</v>
      </c>
      <c r="AZ1" t="s">
        <v>50</v>
      </c>
      <c r="BA1" t="s">
        <v>145</v>
      </c>
      <c r="BB1" t="s">
        <v>45</v>
      </c>
      <c r="BC1" t="s">
        <v>46</v>
      </c>
      <c r="BD1" t="s">
        <v>47</v>
      </c>
      <c r="BE1" t="s">
        <v>51</v>
      </c>
      <c r="BF1" t="s">
        <v>52</v>
      </c>
      <c r="BG1" t="s">
        <v>53</v>
      </c>
      <c r="BH1" t="s">
        <v>54</v>
      </c>
      <c r="BI1" t="s">
        <v>55</v>
      </c>
      <c r="BJ1" t="s">
        <v>186</v>
      </c>
      <c r="BK1" t="s">
        <v>56</v>
      </c>
      <c r="BL1" t="s">
        <v>57</v>
      </c>
      <c r="BM1" t="s">
        <v>58</v>
      </c>
      <c r="BN1" t="s">
        <v>59</v>
      </c>
      <c r="BO1" t="s">
        <v>60</v>
      </c>
      <c r="BP1" t="s">
        <v>146</v>
      </c>
      <c r="BQ1" t="s">
        <v>147</v>
      </c>
      <c r="BR1" t="s">
        <v>103</v>
      </c>
      <c r="BS1" t="s">
        <v>148</v>
      </c>
      <c r="BT1" t="s">
        <v>61</v>
      </c>
      <c r="BU1" t="s">
        <v>62</v>
      </c>
      <c r="BV1" t="s">
        <v>63</v>
      </c>
      <c r="BW1" t="s">
        <v>64</v>
      </c>
      <c r="BX1" t="s">
        <v>65</v>
      </c>
      <c r="BY1" t="s">
        <v>66</v>
      </c>
      <c r="BZ1" t="s">
        <v>185</v>
      </c>
      <c r="CA1" t="s">
        <v>67</v>
      </c>
      <c r="CB1" t="s">
        <v>68</v>
      </c>
      <c r="CC1" t="s">
        <v>69</v>
      </c>
      <c r="CD1" t="s">
        <v>70</v>
      </c>
      <c r="CE1" t="s">
        <v>149</v>
      </c>
      <c r="CF1" t="s">
        <v>48</v>
      </c>
      <c r="CG1" t="s">
        <v>150</v>
      </c>
      <c r="CH1" t="s">
        <v>49</v>
      </c>
    </row>
    <row r="2" spans="1:86" x14ac:dyDescent="0.25">
      <c r="A2" t="str">
        <f>REN_Utility_Name</f>
        <v>Public Utility District No. 1 of Benton County</v>
      </c>
      <c r="B2">
        <f>+CON_2014_Agriculture_Expend</f>
        <v>226006.75</v>
      </c>
      <c r="C2">
        <f>+CON_2014_Agriculture_MWH</f>
        <v>845.98136</v>
      </c>
      <c r="D2">
        <f>+CON_2014_Commercial_Expend</f>
        <v>400944.58</v>
      </c>
      <c r="E2">
        <f>+CON_2014_Commercial_MWH</f>
        <v>1408.3586700000001</v>
      </c>
      <c r="F2">
        <f>+CON_2014_Distribution_Expend</f>
        <v>0</v>
      </c>
      <c r="G2">
        <f>+CON_2014_Distribution_MWH</f>
        <v>0</v>
      </c>
      <c r="H2">
        <f>+CON_2014_Expenditures</f>
        <v>2141240.1799999997</v>
      </c>
      <c r="I2">
        <f>+CON_2014_Industrial_Expend</f>
        <v>470596</v>
      </c>
      <c r="J2">
        <f>+CON_2014_Industrial_MWH</f>
        <v>4483.0633799999996</v>
      </c>
      <c r="K2">
        <f>+CON_2014_MWH</f>
        <v>20884.705197499999</v>
      </c>
      <c r="L2">
        <f>+CON_2014_NEEA_Expend</f>
        <v>0</v>
      </c>
      <c r="M2">
        <f>+CON_2014_NEEA_MWH</f>
        <v>8573</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0</v>
      </c>
      <c r="U2">
        <f>+CON_2014_Program2_Expend</f>
        <v>0</v>
      </c>
      <c r="V2">
        <f>+CON_2014_Residential_Expend</f>
        <v>1043692.85</v>
      </c>
      <c r="W2">
        <f>+CON_2014_Residential_MWH</f>
        <v>5574.3017875000005</v>
      </c>
      <c r="X2">
        <f>+CON_2015_Agriculture_Expend</f>
        <v>226006.75</v>
      </c>
      <c r="Y2">
        <f>+CON_2015_Agriculture_MWH</f>
        <v>1726.8098356786434</v>
      </c>
      <c r="Z2">
        <f>+CON_2015_Commercial_Expend</f>
        <v>549022.82000000007</v>
      </c>
      <c r="AA2">
        <f>+CON_2015_Commercial_MWH</f>
        <v>3948.3379100000002</v>
      </c>
      <c r="AB2">
        <f>+CON_2015_Distribution_Expend</f>
        <v>0</v>
      </c>
      <c r="AC2">
        <f>+CON_2015_Distribution_MWH</f>
        <v>0</v>
      </c>
      <c r="AD2">
        <f>+CON_2015_Expenditures</f>
        <v>1738675.6710000001</v>
      </c>
      <c r="AE2">
        <f>+CON_2015_Industrial_Expend</f>
        <v>299226.13099999999</v>
      </c>
      <c r="AF2">
        <f>+CON_2015_Industrial_MWH</f>
        <v>701.04022699999996</v>
      </c>
      <c r="AG2">
        <f>+CON_2015_MWH</f>
        <v>17075.95452327864</v>
      </c>
      <c r="AH2">
        <f>+CON_2015_NEEA_Expend</f>
        <v>0</v>
      </c>
      <c r="AI2">
        <f>+CON_2015_NEEA_MWH</f>
        <v>8759</v>
      </c>
      <c r="AJ2">
        <f>+CON_2015_OtherSector1_Expend</f>
        <v>0</v>
      </c>
      <c r="AK2">
        <f>+CON_2015_OtherSector1_MWH</f>
        <v>0</v>
      </c>
      <c r="AL2">
        <f>+CON_2015_OtherSector2_Expend</f>
        <v>0</v>
      </c>
      <c r="AM2">
        <f>+CON_2015_OtherSector2_MWH</f>
        <v>0</v>
      </c>
      <c r="AN2">
        <f>+CON_2015_Production_Expend</f>
        <v>0</v>
      </c>
      <c r="AO2">
        <f>+CON_2015_Production_MWH</f>
        <v>0</v>
      </c>
      <c r="AP2">
        <f>+CON_2015_Program1_Expend</f>
        <v>0</v>
      </c>
      <c r="AQ2">
        <f>+CON_2015_Program2_Expend</f>
        <v>0</v>
      </c>
      <c r="AR2">
        <f>+CON_2015_Residential_Expend</f>
        <v>664419.97</v>
      </c>
      <c r="AS2">
        <f>+CON_2015_Residential_MWH</f>
        <v>1940.7665505999998</v>
      </c>
      <c r="AT2" t="str">
        <f>+CON_Contact_Name</f>
        <v>James Dykes / Power Management</v>
      </c>
      <c r="AU2" t="str">
        <f>+CON_Email</f>
        <v>dykesj@bentonpud.org</v>
      </c>
      <c r="AV2" t="str">
        <f>+CON_Phone</f>
        <v>509-582-1267</v>
      </c>
      <c r="AW2">
        <f>+CON_Potential_2015_2023</f>
        <v>135868</v>
      </c>
      <c r="AX2">
        <f>+CON_Potential_2016_2025</f>
        <v>96360</v>
      </c>
      <c r="AY2">
        <f>+CON_Report_Date</f>
        <v>42522</v>
      </c>
      <c r="AZ2">
        <f>+CON_Target_2014_2015</f>
        <v>23740</v>
      </c>
      <c r="BA2">
        <f>+CON_Target_2016_2017</f>
        <v>17257</v>
      </c>
      <c r="BB2" t="str">
        <f>+CON_Utility_Name</f>
        <v>Public Utility District No. 1 of Benton County</v>
      </c>
      <c r="BC2" t="str">
        <f>+REN_Contact_Name</f>
        <v>James Dykes / Power Management</v>
      </c>
      <c r="BD2" t="str">
        <f>+REN_Email</f>
        <v>dykesj@bentonpud.org</v>
      </c>
      <c r="BE2">
        <f>+REN_ERR_ApprenticeLabor</f>
        <v>0</v>
      </c>
      <c r="BF2">
        <f>+REN_ERR_Biodiesel</f>
        <v>0</v>
      </c>
      <c r="BG2">
        <f>+REN_ERR_Biomass</f>
        <v>0</v>
      </c>
      <c r="BH2">
        <f>+REN_ERR_Geothermal</f>
        <v>0</v>
      </c>
      <c r="BI2">
        <f>+REN_ERR_LandfillGas</f>
        <v>0</v>
      </c>
      <c r="BJ2">
        <f>REN_ERR_QBE</f>
        <v>0</v>
      </c>
      <c r="BK2">
        <f>+REN_ERR_SewageGas</f>
        <v>0</v>
      </c>
      <c r="BL2">
        <f>+REN_ERR_Solar</f>
        <v>0</v>
      </c>
      <c r="BM2">
        <f>+REN_ERR_Water</f>
        <v>0</v>
      </c>
      <c r="BN2">
        <f>+REN_ERR_Wind</f>
        <v>94829</v>
      </c>
      <c r="BO2">
        <f>+REN_ERR_WOT</f>
        <v>0</v>
      </c>
      <c r="BP2">
        <f>+REN_Expenditure_Amount_2016</f>
        <v>3447734</v>
      </c>
      <c r="BQ2">
        <f>+REN_Expenditure_Percent_2016</f>
        <v>2.8166329189273906E-2</v>
      </c>
      <c r="BR2">
        <f>+REN_Load_2014</f>
        <v>1781322</v>
      </c>
      <c r="BS2">
        <f>+REN_Load_2015</f>
        <v>1738021</v>
      </c>
      <c r="BT2">
        <f>+REN_REC_ApprenticeLabor</f>
        <v>0</v>
      </c>
      <c r="BU2">
        <f>+REN_REC_Biodiesel</f>
        <v>0</v>
      </c>
      <c r="BV2">
        <f>+REN_REC_Biomass</f>
        <v>0</v>
      </c>
      <c r="BW2">
        <f>+REN_REC_DistributedGeneration</f>
        <v>17984</v>
      </c>
      <c r="BX2">
        <f>+REN_REC_Geothermal</f>
        <v>0</v>
      </c>
      <c r="BY2">
        <f>+REN_REC_LandfillGas</f>
        <v>17984</v>
      </c>
      <c r="BZ2">
        <f>REN_REC_QBE</f>
        <v>0</v>
      </c>
      <c r="CA2">
        <f>+REN_REC_SewageGas</f>
        <v>0</v>
      </c>
      <c r="CB2">
        <f>+REN_REC_Solar</f>
        <v>0</v>
      </c>
      <c r="CC2">
        <f>+REN_REC_Wind</f>
        <v>27573</v>
      </c>
      <c r="CD2">
        <f>+REN_REC_WOT</f>
        <v>0</v>
      </c>
      <c r="CE2">
        <f>+REN_RetailRevenueRequirement_2016</f>
        <v>122406224</v>
      </c>
      <c r="CF2">
        <f>+REN_Submittal_Date</f>
        <v>42522</v>
      </c>
      <c r="CG2">
        <f>+REN_Total_2016</f>
        <v>158370</v>
      </c>
      <c r="CH2" t="str">
        <f>+REN_Utility_Name</f>
        <v>Public Utility District No. 1 of Benton County</v>
      </c>
    </row>
    <row r="6" spans="1:86" x14ac:dyDescent="0.25">
      <c r="A6" s="14" t="s">
        <v>13</v>
      </c>
    </row>
    <row r="7" spans="1:86" x14ac:dyDescent="0.25">
      <c r="A7" s="14" t="s">
        <v>14</v>
      </c>
    </row>
    <row r="8" spans="1:86" x14ac:dyDescent="0.25">
      <c r="A8" s="14" t="s">
        <v>171</v>
      </c>
    </row>
    <row r="9" spans="1:86" x14ac:dyDescent="0.25">
      <c r="A9" s="14" t="s">
        <v>174</v>
      </c>
    </row>
    <row r="10" spans="1:86" x14ac:dyDescent="0.25">
      <c r="A10" s="14" t="s">
        <v>175</v>
      </c>
    </row>
    <row r="11" spans="1:86" x14ac:dyDescent="0.25">
      <c r="A11" s="14" t="s">
        <v>172</v>
      </c>
    </row>
    <row r="12" spans="1:86" x14ac:dyDescent="0.25">
      <c r="A12" s="14" t="s">
        <v>15</v>
      </c>
    </row>
    <row r="13" spans="1:86" x14ac:dyDescent="0.25">
      <c r="A13" s="14" t="s">
        <v>22</v>
      </c>
    </row>
    <row r="14" spans="1:86" x14ac:dyDescent="0.25">
      <c r="A14" s="14" t="s">
        <v>16</v>
      </c>
    </row>
    <row r="15" spans="1:86" x14ac:dyDescent="0.25">
      <c r="A15" s="14" t="s">
        <v>170</v>
      </c>
    </row>
  </sheetData>
  <sheetProtection sheet="1" objects="1" scenarios="1"/>
  <dataValidations count="1">
    <dataValidation type="list" allowBlank="1" showInputMessage="1" showErrorMessage="1" sqref="D8">
      <formula1>$A$6:$A$15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1232cac0a27544407118dd62e18a60c7">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2.xml><?xml version="1.0" encoding="utf-8"?>
<ds:datastoreItem xmlns:ds="http://schemas.openxmlformats.org/officeDocument/2006/customXml" ds:itemID="{B5134EF7-F04D-4218-953F-7A835D8EE7C1}">
  <ds:schemaRefs>
    <ds:schemaRef ds:uri="http://purl.org/dc/terms/"/>
    <ds:schemaRef ds:uri="http://schemas.microsoft.com/office/2006/documentManagement/types"/>
    <ds:schemaRef ds:uri="http://schemas.microsoft.com/office/2006/metadata/properties"/>
    <ds:schemaRef ds:uri="http://www.w3.org/XML/1998/namespace"/>
    <ds:schemaRef ds:uri="http://schemas.microsoft.com/sharepoint/v3"/>
    <ds:schemaRef ds:uri="http://purl.org/dc/dcmitype/"/>
    <ds:schemaRef ds:uri="http://purl.org/dc/elements/1.1/"/>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09BE70BF-8544-467A-B785-6047FAAE3D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90</vt:i4>
      </vt:variant>
    </vt:vector>
  </HeadingPairs>
  <TitlesOfParts>
    <vt:vector size="96" baseType="lpstr">
      <vt:lpstr>Background</vt:lpstr>
      <vt:lpstr>Instructions - Revise 2014</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CON_2015_Agriculture_Expend</vt:lpstr>
      <vt:lpstr>CON_2015_Agriculture_MWH</vt:lpstr>
      <vt:lpstr>CON_2015_Commercial_Expend</vt:lpstr>
      <vt:lpstr>CON_2015_Commercial_MWH</vt:lpstr>
      <vt:lpstr>CON_2015_Distribution_Expend</vt:lpstr>
      <vt:lpstr>CON_2015_Distribution_MWH</vt:lpstr>
      <vt:lpstr>CON_2015_Expenditures</vt:lpstr>
      <vt:lpstr>CON_2015_Industrial_Expend</vt:lpstr>
      <vt:lpstr>CON_2015_Industrial_MWH</vt:lpstr>
      <vt:lpstr>CON_2015_MWH</vt:lpstr>
      <vt:lpstr>CON_2015_NEEA_Expend</vt:lpstr>
      <vt:lpstr>CON_2015_NEEA_MWH</vt:lpstr>
      <vt:lpstr>CON_2015_OtherSector1_Expend</vt:lpstr>
      <vt:lpstr>CON_2015_OtherSector1_MWH</vt:lpstr>
      <vt:lpstr>CON_2015_OtherSector2_Expend</vt:lpstr>
      <vt:lpstr>CON_2015_OtherSector2_MWH</vt:lpstr>
      <vt:lpstr>CON_2015_Production_Expend</vt:lpstr>
      <vt:lpstr>CON_2015_Production_MWH</vt:lpstr>
      <vt:lpstr>CON_2015_Program1_Expend</vt:lpstr>
      <vt:lpstr>CON_2015_Program2_Expend</vt:lpstr>
      <vt:lpstr>CON_2015_Residential_Expend</vt:lpstr>
      <vt:lpstr>CON_2015_Residential_MWH</vt:lpstr>
      <vt:lpstr>CON_Contact_Name</vt:lpstr>
      <vt:lpstr>CON_Email</vt:lpstr>
      <vt:lpstr>CON_Phone</vt:lpstr>
      <vt:lpstr>CON_Potential_2015_2023</vt:lpstr>
      <vt:lpstr>CON_Potential_2016_2025</vt:lpstr>
      <vt:lpstr>CON_Report_Date</vt:lpstr>
      <vt:lpstr>CON_Target_2014_2015</vt:lpstr>
      <vt:lpstr>CON_Target_2016_2017</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REN_ERR_QBE</vt:lpstr>
      <vt:lpstr>REN_ERR_SewageGas</vt:lpstr>
      <vt:lpstr>REN_ERR_Solar</vt:lpstr>
      <vt:lpstr>REN_ERR_Water</vt:lpstr>
      <vt:lpstr>REN_ERR_Wind</vt:lpstr>
      <vt:lpstr>REN_ERR_WOT</vt:lpstr>
      <vt:lpstr>REN_Expenditure_Amount_2016</vt:lpstr>
      <vt:lpstr>REN_Expenditure_Percent_2016</vt:lpstr>
      <vt:lpstr>REN_Load_2014</vt:lpstr>
      <vt:lpstr>REN_Load_2015</vt:lpstr>
      <vt:lpstr>REN_REC_ApprenticeLabor</vt:lpstr>
      <vt:lpstr>REN_REC_Biodiesel</vt:lpstr>
      <vt:lpstr>REN_REC_Biomass</vt:lpstr>
      <vt:lpstr>REN_REC_DistributedGeneration</vt:lpstr>
      <vt:lpstr>REN_REC_Geothermal</vt:lpstr>
      <vt:lpstr>REN_REC_LandfillGas</vt:lpstr>
      <vt:lpstr>REN_REC_QBE</vt:lpstr>
      <vt:lpstr>REN_REC_SewageGas</vt:lpstr>
      <vt:lpstr>REN_REC_Solar</vt:lpstr>
      <vt:lpstr>REN_REC_Wind</vt:lpstr>
      <vt:lpstr>REN_REC_WOT</vt:lpstr>
      <vt:lpstr>REN_RetailRevenueRequirement_2016</vt:lpstr>
      <vt:lpstr>REN_Submittal_Date</vt:lpstr>
      <vt:lpstr>REN_Total_2016</vt:lpstr>
      <vt:lpstr>REN_Utility_Name</vt:lpstr>
      <vt:lpstr>ResourceType</vt:lpstr>
      <vt:lpstr>ResourceType_REC</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2016 Report Workbook for Utilities</dc:title>
  <dc:creator>Glenn Blackmon</dc:creator>
  <cp:keywords>EIA 2014 Report Workbook for Utilities</cp:keywords>
  <cp:lastModifiedBy>Blackmon, Glenn (COM)</cp:lastModifiedBy>
  <cp:lastPrinted>2016-03-30T15:46:38Z</cp:lastPrinted>
  <dcterms:created xsi:type="dcterms:W3CDTF">2012-03-20T21:01:26Z</dcterms:created>
  <dcterms:modified xsi:type="dcterms:W3CDTF">2016-06-29T16:18:45Z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y fmtid="{D5CDD505-2E9C-101B-9397-08002B2CF9AE}" pid="8" name="_SourceUrl">
    <vt:lpwstr/>
  </property>
  <property fmtid="{D5CDD505-2E9C-101B-9397-08002B2CF9AE}" pid="9" name="_SharedFileIndex">
    <vt:lpwstr/>
  </property>
</Properties>
</file>