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Conservation\Reports\Energy Independece Act\2016\Progress Report\"/>
    </mc:Choice>
  </mc:AlternateContent>
  <bookViews>
    <workbookView xWindow="0" yWindow="0" windowWidth="16000" windowHeight="8290" tabRatio="719" firstSheet="2" activeTab="5"/>
  </bookViews>
  <sheets>
    <sheet name="Background" sheetId="21" r:id="rId1"/>
    <sheet name="Instructions - Revise 2014" sheetId="20" r:id="rId2"/>
    <sheet name="Revised Renewables 2014" sheetId="24" r:id="rId3"/>
    <sheet name="Conservation Report" sheetId="18" r:id="rId4"/>
    <sheet name="Renewables Report" sheetId="16" r:id="rId5"/>
    <sheet name="Renewable Cost Report" sheetId="23" r:id="rId6"/>
    <sheet name="Data" sheetId="19" state="hidden" r:id="rId7"/>
  </sheets>
  <externalReferences>
    <externalReference r:id="rId8"/>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3">'Conservation Report'!$A$3:$I$37</definedName>
    <definedName name="_xlnm.Print_Area" localSheetId="5">'Renewable Cost Report'!$A$3:$K$62</definedName>
    <definedName name="_xlnm.Print_Area" localSheetId="4">'Renewables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4">'Revised Renewables 2014'!$N$11</definedName>
    <definedName name="REN_Expenditure_Amount_2016">'Renewables Report'!$M$13</definedName>
    <definedName name="REN_Expenditure_Percent_2016">'Renewables Report'!$M$15</definedName>
    <definedName name="REN_Load_2012">'Revised Renewables 2014'!$N$3</definedName>
    <definedName name="REN_Load_2013">'Revised Renewables 2014'!$N$4</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4">'Revised Renewables 2014'!$N$12</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62913"/>
</workbook>
</file>

<file path=xl/calcChain.xml><?xml version="1.0" encoding="utf-8"?>
<calcChain xmlns="http://schemas.openxmlformats.org/spreadsheetml/2006/main">
  <c r="F98" i="24" l="1"/>
  <c r="F66" i="24"/>
  <c r="F36" i="24"/>
  <c r="C20" i="24"/>
  <c r="M19" i="24"/>
  <c r="M20" i="24" s="1"/>
  <c r="L19" i="24"/>
  <c r="K19" i="24"/>
  <c r="J19" i="24"/>
  <c r="I19" i="24"/>
  <c r="H19" i="24"/>
  <c r="G19" i="24"/>
  <c r="F19" i="24"/>
  <c r="E19" i="24"/>
  <c r="D19" i="24"/>
  <c r="L18" i="24"/>
  <c r="L20" i="24" s="1"/>
  <c r="K18" i="24"/>
  <c r="J18" i="24"/>
  <c r="J20" i="24" s="1"/>
  <c r="I18" i="24"/>
  <c r="I20" i="24" s="1"/>
  <c r="H18" i="24"/>
  <c r="H20" i="24" s="1"/>
  <c r="G18" i="24"/>
  <c r="F18" i="24"/>
  <c r="F20" i="24" s="1"/>
  <c r="E18" i="24"/>
  <c r="D18" i="24"/>
  <c r="C18" i="24"/>
  <c r="N13" i="24"/>
  <c r="N5" i="24"/>
  <c r="N7" i="24" s="1"/>
  <c r="K20" i="24" l="1"/>
  <c r="E20" i="24"/>
  <c r="G20" i="24"/>
  <c r="D20" i="24"/>
  <c r="N8" i="24"/>
  <c r="I69" i="16" l="1"/>
  <c r="I70" i="16"/>
  <c r="I71" i="16"/>
  <c r="I72" i="16"/>
  <c r="I73" i="16"/>
  <c r="I74" i="16"/>
  <c r="I75" i="16"/>
  <c r="I76" i="16"/>
  <c r="I77" i="16"/>
  <c r="I78" i="16"/>
  <c r="I79" i="16"/>
  <c r="I80" i="16"/>
  <c r="I81" i="16"/>
  <c r="I82" i="16"/>
  <c r="I83" i="16"/>
  <c r="I84" i="16"/>
  <c r="I85" i="16"/>
  <c r="I86" i="16"/>
  <c r="I87" i="16"/>
  <c r="I88" i="16"/>
  <c r="I89" i="16"/>
  <c r="I90" i="16"/>
  <c r="I91" i="16"/>
  <c r="I68" i="16"/>
  <c r="I67" i="16"/>
  <c r="C18" i="16"/>
  <c r="C20" i="16" s="1"/>
  <c r="D39" i="23"/>
  <c r="D40" i="23"/>
  <c r="D41" i="23"/>
  <c r="D42" i="23"/>
  <c r="E42" i="23" s="1"/>
  <c r="D43" i="23"/>
  <c r="E43" i="23" s="1"/>
  <c r="D44" i="23"/>
  <c r="E44" i="23" s="1"/>
  <c r="D45" i="23"/>
  <c r="D46" i="23"/>
  <c r="D47" i="23"/>
  <c r="D48" i="23"/>
  <c r="D49" i="23"/>
  <c r="D50" i="23"/>
  <c r="D51" i="23"/>
  <c r="D52" i="23"/>
  <c r="D53" i="23"/>
  <c r="D54" i="23"/>
  <c r="D55" i="23"/>
  <c r="D56" i="23"/>
  <c r="D57" i="23"/>
  <c r="D58" i="23"/>
  <c r="D59" i="23"/>
  <c r="D60" i="23"/>
  <c r="D61" i="23"/>
  <c r="D38" i="23"/>
  <c r="D37" i="23"/>
  <c r="C11" i="23"/>
  <c r="C12" i="23"/>
  <c r="C13" i="23"/>
  <c r="C14" i="23"/>
  <c r="C15" i="23"/>
  <c r="C16" i="23"/>
  <c r="C17" i="23"/>
  <c r="C18" i="23"/>
  <c r="C19" i="23"/>
  <c r="C20" i="23"/>
  <c r="C21" i="23"/>
  <c r="C22" i="23"/>
  <c r="C23" i="23"/>
  <c r="C24" i="23"/>
  <c r="C25" i="23"/>
  <c r="C26" i="23"/>
  <c r="C27" i="23"/>
  <c r="C28" i="23"/>
  <c r="C29" i="23"/>
  <c r="C10" i="23"/>
  <c r="C9" i="23"/>
  <c r="E19" i="16"/>
  <c r="F19" i="16"/>
  <c r="G19" i="16"/>
  <c r="H19" i="16"/>
  <c r="I19" i="16"/>
  <c r="J19" i="16"/>
  <c r="K19" i="16"/>
  <c r="L19" i="16"/>
  <c r="BZ2" i="19" s="1"/>
  <c r="D19" i="16"/>
  <c r="D18" i="16"/>
  <c r="E18" i="16"/>
  <c r="F18" i="16"/>
  <c r="G18" i="16"/>
  <c r="H18" i="16"/>
  <c r="I18" i="16"/>
  <c r="J18" i="16"/>
  <c r="K18" i="16"/>
  <c r="L18" i="16"/>
  <c r="BJ2" i="19" s="1"/>
  <c r="H91" i="16"/>
  <c r="H68" i="16"/>
  <c r="H69" i="16"/>
  <c r="H70" i="16"/>
  <c r="H71" i="16"/>
  <c r="H72" i="16"/>
  <c r="H73" i="16"/>
  <c r="H74" i="16"/>
  <c r="H75" i="16"/>
  <c r="H76" i="16"/>
  <c r="H77" i="16"/>
  <c r="H78" i="16"/>
  <c r="H79" i="16"/>
  <c r="H80" i="16"/>
  <c r="H81" i="16"/>
  <c r="H82" i="16"/>
  <c r="H83" i="16"/>
  <c r="H84" i="16"/>
  <c r="H85" i="16"/>
  <c r="H86" i="16"/>
  <c r="H87" i="16"/>
  <c r="H88" i="16"/>
  <c r="H89" i="16"/>
  <c r="H90" i="16"/>
  <c r="H67" i="16"/>
  <c r="F41" i="16"/>
  <c r="F42" i="16"/>
  <c r="F43" i="16"/>
  <c r="F44" i="16"/>
  <c r="F45" i="16"/>
  <c r="F46" i="16"/>
  <c r="F47" i="16"/>
  <c r="F48" i="16"/>
  <c r="F49" i="16"/>
  <c r="F50" i="16"/>
  <c r="F51" i="16"/>
  <c r="F52" i="16"/>
  <c r="F53" i="16"/>
  <c r="F54" i="16"/>
  <c r="F55" i="16"/>
  <c r="F56" i="16"/>
  <c r="F57" i="16"/>
  <c r="F58" i="16"/>
  <c r="F59" i="16"/>
  <c r="F60" i="16"/>
  <c r="F40" i="16"/>
  <c r="M19" i="16" l="1"/>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G31" i="18" l="1"/>
  <c r="AD2" i="19" s="1"/>
  <c r="F31" i="18"/>
  <c r="AG2" i="19" s="1"/>
  <c r="F38" i="23" l="1"/>
  <c r="K9" i="23"/>
  <c r="F39" i="23"/>
  <c r="F40" i="23"/>
  <c r="F41" i="23"/>
  <c r="F42" i="23"/>
  <c r="F43" i="23"/>
  <c r="F44" i="23"/>
  <c r="F45" i="23"/>
  <c r="F46" i="23"/>
  <c r="F47" i="23"/>
  <c r="F48" i="23"/>
  <c r="F49" i="23"/>
  <c r="F50" i="23"/>
  <c r="F51" i="23"/>
  <c r="F52" i="23"/>
  <c r="F53" i="23"/>
  <c r="F54" i="23"/>
  <c r="F55" i="23"/>
  <c r="F56" i="23"/>
  <c r="F57" i="23"/>
  <c r="F58" i="23"/>
  <c r="F59" i="23"/>
  <c r="F60" i="23"/>
  <c r="F61" i="23"/>
  <c r="F37" i="23"/>
  <c r="K29" i="23" l="1"/>
  <c r="K28" i="23"/>
  <c r="K27" i="23"/>
  <c r="K26" i="23"/>
  <c r="K25" i="23"/>
  <c r="K24" i="23"/>
  <c r="K23" i="23"/>
  <c r="K22" i="23"/>
  <c r="K21" i="23"/>
  <c r="K20" i="23"/>
  <c r="K19" i="23"/>
  <c r="K18" i="23"/>
  <c r="K17" i="23"/>
  <c r="K16" i="23"/>
  <c r="K15" i="23"/>
  <c r="K14" i="23"/>
  <c r="K13" i="23"/>
  <c r="K12" i="23"/>
  <c r="K11" i="23"/>
  <c r="K10" i="23"/>
  <c r="E62" i="23" l="1"/>
  <c r="C61" i="23"/>
  <c r="B61" i="23"/>
  <c r="C60" i="23"/>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C38" i="23"/>
  <c r="B38" i="23"/>
  <c r="C37" i="23"/>
  <c r="B37" i="23"/>
  <c r="A61" i="23"/>
  <c r="A60" i="23"/>
  <c r="A59" i="23"/>
  <c r="A58" i="23"/>
  <c r="A57" i="23"/>
  <c r="A56" i="23"/>
  <c r="A55" i="23"/>
  <c r="A54" i="23"/>
  <c r="A53" i="23"/>
  <c r="A52" i="23"/>
  <c r="A51" i="23"/>
  <c r="A50" i="23"/>
  <c r="A49" i="23"/>
  <c r="A48" i="23"/>
  <c r="A47" i="23"/>
  <c r="A46" i="23"/>
  <c r="A45" i="23"/>
  <c r="A44" i="23"/>
  <c r="A43" i="23"/>
  <c r="A42" i="23"/>
  <c r="A41" i="23"/>
  <c r="A40" i="23"/>
  <c r="A39" i="23"/>
  <c r="A38" i="23"/>
  <c r="A37" i="23"/>
  <c r="D30" i="23"/>
  <c r="I30" i="23"/>
  <c r="E10" i="23"/>
  <c r="J11" i="23"/>
  <c r="E12" i="23"/>
  <c r="J13" i="23"/>
  <c r="J14" i="23"/>
  <c r="J15" i="23"/>
  <c r="E16" i="23"/>
  <c r="J17" i="23"/>
  <c r="J18" i="23"/>
  <c r="J19" i="23"/>
  <c r="E20" i="23"/>
  <c r="E21" i="23"/>
  <c r="J22" i="23"/>
  <c r="J23" i="23"/>
  <c r="E24" i="23"/>
  <c r="J25" i="23"/>
  <c r="E26" i="23"/>
  <c r="J27" i="23"/>
  <c r="E28" i="23"/>
  <c r="E29" i="23"/>
  <c r="E9" i="23"/>
  <c r="J28" i="23" l="1"/>
  <c r="J12" i="23"/>
  <c r="J20" i="23"/>
  <c r="K30" i="23"/>
  <c r="M13" i="16" s="1"/>
  <c r="BP2" i="19" s="1"/>
  <c r="J10" i="23"/>
  <c r="J26" i="23"/>
  <c r="E22" i="23"/>
  <c r="J9" i="23"/>
  <c r="J16" i="23"/>
  <c r="J24" i="23"/>
  <c r="C30" i="23"/>
  <c r="E14" i="23"/>
  <c r="E25" i="23"/>
  <c r="E17" i="23"/>
  <c r="J21" i="23"/>
  <c r="J29" i="23"/>
  <c r="E27" i="23"/>
  <c r="E23" i="23"/>
  <c r="E15" i="23"/>
  <c r="E11" i="23"/>
  <c r="E13" i="23"/>
  <c r="A9" i="23"/>
  <c r="B9" i="23"/>
  <c r="A10" i="23"/>
  <c r="B10" i="23"/>
  <c r="A11" i="23"/>
  <c r="B11" i="23"/>
  <c r="A12" i="23"/>
  <c r="B12" i="23"/>
  <c r="A13" i="23"/>
  <c r="B13" i="23"/>
  <c r="A14" i="23"/>
  <c r="B14" i="23"/>
  <c r="A15" i="23"/>
  <c r="B15" i="23"/>
  <c r="A16" i="23"/>
  <c r="B16" i="23"/>
  <c r="A17" i="23"/>
  <c r="B17" i="23"/>
  <c r="A18" i="23"/>
  <c r="B18" i="23"/>
  <c r="A19" i="23"/>
  <c r="B19" i="23"/>
  <c r="A20" i="23"/>
  <c r="B20" i="23"/>
  <c r="A21" i="23"/>
  <c r="B21" i="23"/>
  <c r="A22" i="23"/>
  <c r="B22" i="23"/>
  <c r="A23" i="23"/>
  <c r="B23" i="23"/>
  <c r="A24" i="23"/>
  <c r="B24" i="23"/>
  <c r="A25" i="23"/>
  <c r="B25" i="23"/>
  <c r="A26" i="23"/>
  <c r="B26" i="23"/>
  <c r="A27" i="23"/>
  <c r="B27" i="23"/>
  <c r="A28" i="23"/>
  <c r="B28" i="23"/>
  <c r="A29" i="23"/>
  <c r="B29" i="23"/>
  <c r="E5" i="23"/>
  <c r="E32" i="23" s="1"/>
  <c r="N5" i="21" l="1"/>
  <c r="N7" i="20"/>
  <c r="M7" i="16"/>
  <c r="M9" i="16" s="1"/>
  <c r="A2" i="19" l="1"/>
  <c r="M15" i="16" l="1"/>
  <c r="BQ2" i="19" s="1"/>
  <c r="BM2" i="19" l="1"/>
  <c r="BN2" i="19"/>
  <c r="BL2" i="19"/>
  <c r="BH2" i="19"/>
  <c r="BI2" i="19"/>
  <c r="BO2" i="19"/>
  <c r="BK2" i="19"/>
  <c r="BF2" i="19"/>
  <c r="BG2" i="19"/>
  <c r="BE2" i="19"/>
  <c r="B33" i="18" l="1"/>
  <c r="D31" i="18" l="1"/>
  <c r="H2" i="19" s="1"/>
  <c r="C31" i="18"/>
  <c r="K2" i="19" l="1"/>
  <c r="BW2" i="19"/>
  <c r="N20" i="16" l="1"/>
  <c r="E93" i="16"/>
  <c r="BT2" i="19"/>
  <c r="E62" i="16"/>
  <c r="E36" i="16"/>
  <c r="BV2" i="19"/>
  <c r="BU2" i="19"/>
  <c r="CA2" i="19"/>
  <c r="CD2" i="19"/>
  <c r="BY2" i="19"/>
  <c r="BX2" i="19"/>
  <c r="CB2" i="19"/>
  <c r="CC2" i="19"/>
  <c r="F20" i="16" l="1"/>
  <c r="J20" i="16"/>
  <c r="E20" i="16"/>
  <c r="G20" i="16"/>
  <c r="I20" i="16"/>
  <c r="H20" i="16"/>
  <c r="M20" i="16"/>
  <c r="D20" i="16"/>
  <c r="K20" i="16"/>
  <c r="M10" i="16" l="1"/>
  <c r="CG2" i="19" s="1"/>
</calcChain>
</file>

<file path=xl/comments1.xml><?xml version="1.0" encoding="utf-8"?>
<comments xmlns="http://schemas.openxmlformats.org/spreadsheetml/2006/main">
  <authors>
    <author>Blackmon, Glenn (COM)</author>
  </authors>
  <commentList>
    <comment ref="A11" authorId="0" shapeId="0">
      <text>
        <r>
          <rPr>
            <sz val="9"/>
            <color indexed="81"/>
            <rFont val="Tahoma"/>
            <family val="2"/>
          </rPr>
          <t xml:space="preserve">Utilities selecting the Resource Cost or No Load Growth methods must submit additional information. See details in WAC 194-37-110.
</t>
        </r>
      </text>
    </comment>
    <comment ref="K17" authorId="0" shape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shape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<sst xmlns="http://schemas.openxmlformats.org/spreadsheetml/2006/main" count="492" uniqueCount="260">
  <si>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</si>
  <si>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</si>
  <si>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</si>
  <si>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</si>
  <si>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</si>
  <si>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</si>
  <si>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</si>
  <si>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</si>
  <si>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</si>
  <si>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</si>
  <si>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</si>
  <si>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</si>
  <si>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</si>
  <si>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</si>
  <si>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</si>
  <si>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</si>
  <si>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</si>
  <si>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</si>
  <si>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</si>
  <si>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</si>
  <si>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</si>
  <si>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</si>
  <si>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</si>
  <si>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</si>
  <si>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</si>
  <si>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</si>
  <si>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</si>
  <si>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</si>
  <si>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</si>
  <si>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</si>
  <si>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</si>
  <si>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</si>
  <si>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</si>
  <si>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</si>
  <si>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</si>
  <si>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</si>
  <si>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</si>
  <si>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</si>
  <si>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</si>
  <si>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</si>
  <si>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</si>
  <si>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</si>
  <si>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</si>
  <si>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</si>
  <si>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</si>
  <si>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</si>
  <si>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</si>
  <si>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</si>
  <si>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</si>
  <si>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</si>
  <si>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</si>
  <si>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</si>
  <si>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</si>
  <si>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</si>
  <si>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</si>
  <si>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</si>
  <si>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</si>
  <si>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</si>
  <si>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</si>
  <si>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</si>
  <si>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</si>
  <si>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</si>
  <si>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</si>
  <si>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</si>
  <si>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</si>
  <si>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</si>
  <si>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</si>
  <si>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</si>
  <si>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</si>
  <si>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</si>
  <si>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</si>
  <si>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</si>
  <si>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</si>
  <si>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</si>
  <si>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</si>
  <si>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</si>
  <si>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</si>
  <si>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</si>
  <si>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</si>
  <si>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</si>
  <si>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</si>
  <si>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</si>
  <si>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</si>
  <si>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</si>
  <si>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</si>
  <si>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</si>
  <si>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</si>
  <si>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</si>
  <si>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</si>
  <si>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</si>
  <si>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</si>
  <si>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</si>
  <si>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</si>
  <si>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</si>
  <si>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</si>
  <si>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</si>
  <si>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</si>
  <si>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</si>
  <si>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</si>
  <si>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</si>
  <si>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</si>
  <si>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</si>
  <si>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</si>
  <si>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</si>
  <si>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</si>
  <si>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</si>
  <si>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</si>
  <si>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</si>
  <si>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</si>
  <si>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</si>
  <si>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</si>
  <si>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</si>
  <si>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</si>
  <si>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</si>
  <si>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</si>
  <si>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</si>
  <si>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</si>
  <si>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</si>
  <si>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</si>
  <si>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</si>
  <si>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</si>
  <si>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</si>
  <si>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</si>
  <si>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</si>
  <si>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</si>
  <si>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</si>
  <si>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</si>
  <si>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</si>
  <si>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</si>
  <si>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</si>
  <si>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</si>
  <si>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</si>
  <si>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</si>
  <si>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</si>
  <si>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</si>
  <si>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</si>
  <si>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</si>
  <si>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</si>
  <si>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</si>
  <si>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</si>
  <si>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</si>
  <si>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</si>
  <si>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</si>
  <si>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</si>
  <si>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</si>
  <si>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</si>
  <si>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</si>
  <si>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</si>
  <si>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</si>
  <si>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</si>
  <si>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</si>
  <si>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</si>
  <si>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</si>
  <si>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</si>
  <si>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</si>
  <si>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</si>
  <si>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</si>
  <si>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</si>
  <si>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</si>
  <si>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</si>
  <si>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</si>
  <si>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</si>
  <si>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</si>
  <si>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</si>
  <si>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</si>
  <si>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</si>
  <si>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</si>
  <si>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</si>
  <si>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</si>
  <si>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</si>
  <si>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</si>
  <si>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</si>
  <si>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</si>
  <si>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</si>
  <si>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</si>
  <si>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</si>
  <si>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</si>
  <si>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</si>
  <si>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</si>
  <si>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</si>
  <si>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</si>
  <si>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</si>
  <si>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</si>
  <si>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</si>
  <si>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</si>
  <si>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</si>
  <si>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</si>
  <si>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</si>
  <si>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</si>
  <si>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</si>
  <si>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</si>
  <si>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</si>
  <si>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</si>
  <si>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</si>
  <si>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</si>
  <si>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</si>
  <si>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</si>
  <si>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</si>
  <si>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PUD No. 1 of Clallam County</t>
  </si>
  <si>
    <t>Fred Mtichel/ / Utility Services</t>
  </si>
  <si>
    <t>360.565.3235</t>
  </si>
  <si>
    <t>FredM@ClallamPUD.net</t>
  </si>
  <si>
    <t>PUD #1 of Clallam County</t>
  </si>
  <si>
    <t>Fred Mitchell/Power Resources</t>
  </si>
  <si>
    <t>360-565-3235</t>
  </si>
  <si>
    <t>fredm@clallampud.net</t>
  </si>
  <si>
    <t>Condon Phase II</t>
  </si>
  <si>
    <t>W833</t>
  </si>
  <si>
    <t>W774</t>
  </si>
  <si>
    <t xml:space="preserve">Condon Phase I </t>
  </si>
  <si>
    <t>Stateline</t>
  </si>
  <si>
    <t>W248</t>
  </si>
  <si>
    <t>Klondike III</t>
  </si>
  <si>
    <t>W237</t>
  </si>
  <si>
    <t xml:space="preserve">Klondike I   </t>
  </si>
  <si>
    <t>W238</t>
  </si>
  <si>
    <t>Roseburg LFG</t>
  </si>
  <si>
    <t>W2616</t>
  </si>
  <si>
    <t>Yes</t>
  </si>
  <si>
    <t>Dry Creek Dairy Digester</t>
  </si>
  <si>
    <t>W388</t>
  </si>
  <si>
    <t>Big Sky Dairy Digester</t>
  </si>
  <si>
    <t>W1814</t>
  </si>
  <si>
    <t>2012 Annual Load (MWh)</t>
  </si>
  <si>
    <t>2013 Annual Load (MWh)</t>
  </si>
  <si>
    <t>Fred Mitchel, Power</t>
  </si>
  <si>
    <t>Average of 2012 &amp; 2013 Annual Loads (MWh)</t>
  </si>
  <si>
    <t>2014 Renewable Target (% of load)</t>
  </si>
  <si>
    <t>2014 Eligible Renewable Energy Target (MWh)</t>
  </si>
  <si>
    <t>Eligible Renewables Acquisitions / Investments (MWh)</t>
  </si>
  <si>
    <t>2014 Compliance Method:</t>
  </si>
  <si>
    <t>Expenditures on Renewable Resources and RECs - 2014</t>
  </si>
  <si>
    <t>Total annual retail revenue requirement - 2014</t>
  </si>
  <si>
    <t>(a)</t>
  </si>
  <si>
    <t>     (b)</t>
  </si>
  <si>
    <t>(c)</t>
  </si>
  <si>
    <t>     (d)</t>
  </si>
  <si>
    <t>     (e)</t>
  </si>
  <si>
    <t>     (f)</t>
  </si>
  <si>
    <t>     (g)</t>
  </si>
  <si>
    <t>(h)</t>
  </si>
  <si>
    <t>     (i)</t>
  </si>
  <si>
    <t>     (j)</t>
  </si>
  <si>
    <t>     (k)</t>
  </si>
  <si>
    <t>Solar Energy</t>
  </si>
  <si>
    <t>Geothermal Energy</t>
  </si>
  <si>
    <t xml:space="preserve"> Biodiesel</t>
  </si>
  <si>
    <t>Biomass Energy</t>
  </si>
  <si>
    <t>Apprentice Labor</t>
  </si>
  <si>
    <t>Distributed Generation</t>
  </si>
  <si>
    <t>Renewable Energy Credits (MWh)</t>
  </si>
  <si>
    <t>Total Renewables (MWh)</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</si>
  <si>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</si>
  <si>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 xml:space="preserve">Water </t>
  </si>
  <si>
    <t xml:space="preserve">Wave, Ocean, Tidal </t>
  </si>
  <si>
    <t>REC Year</t>
  </si>
  <si>
    <t>Hidden Hollow Landfill Gas Facility</t>
  </si>
  <si>
    <t>W1634</t>
  </si>
  <si>
    <t>Target Year</t>
  </si>
  <si>
    <r>
      <rPr>
        <sz val="12"/>
        <color indexed="8"/>
        <rFont val="Arial"/>
        <family val="2"/>
      </rPr>
      <t>Energy Independence Act (EIA)</t>
    </r>
    <r>
      <rPr>
        <b/>
        <sz val="12"/>
        <color indexed="8"/>
        <rFont val="Arial"/>
        <family val="2"/>
      </rPr>
      <t xml:space="preserve"> </t>
    </r>
    <r>
      <rPr>
        <b/>
        <sz val="12"/>
        <color rgb="FFFF0000"/>
        <rFont val="Arial"/>
        <family val="2"/>
      </rPr>
      <t xml:space="preserve">Revised </t>
    </r>
    <r>
      <rPr>
        <sz val="12"/>
        <color indexed="8"/>
        <rFont val="Arial Black"/>
        <family val="2"/>
      </rPr>
      <t>Renewable Energy Report 2014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</si>
</sst>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7"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
      <i/>
      <sz val="10"/>
      <color indexed="60"/>
      <name val="Arial"/>
      <family val="2"/>
    </font>
    <font>
      <b/>
      <i/>
      <sz val="10"/>
      <color indexed="60"/>
      <name val="Arial"/>
      <family val="2"/>
    </font>
    <font>
      <i/>
      <sz val="10"/>
      <color rgb="FFC00000"/>
      <name val="Arial"/>
      <family val="2"/>
    </font>
    <font>
      <sz val="10"/>
      <color rgb="FFC00000"/>
      <name val="Arial"/>
      <family val="2"/>
    </font>
    <font>
      <sz val="8"/>
      <color theme="1"/>
      <name val="Arial"/>
      <family val="2"/>
    </font>
    <font>
      <sz val="10"/>
      <color rgb="FFFF0000"/>
      <name val="Arial"/>
      <family val="2"/>
    </font>
    <font>
      <b/>
      <sz val="12"/>
      <color rgb="FFFF0000"/>
      <name val="Arial"/>
      <family val="2"/>
    </font>
  </fonts>
  <fills count="11">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CC"/>
        <bgColor indexed="64"/>
      </patternFill>
    </fill>
  </fills>
  <borders count="57">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bottom style="hair">
        <color indexed="64"/>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345">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6" borderId="34" xfId="0" applyNumberFormat="1" applyFont="1" applyFill="1" applyBorder="1" applyAlignment="1">
      <alignment horizontal="center"/>
    </xf>
    <xf numFmtId="0" fontId="8" fillId="6" borderId="12" xfId="0"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2"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3" xfId="0" applyNumberFormat="1" applyFont="1" applyFill="1" applyBorder="1" applyAlignment="1">
      <alignment horizontal="center"/>
    </xf>
    <xf numFmtId="165" fontId="8" fillId="6" borderId="47" xfId="1" applyNumberFormat="1" applyFont="1" applyFill="1" applyBorder="1"/>
    <xf numFmtId="165" fontId="8" fillId="6" borderId="51"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8"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169" fontId="8" fillId="7" borderId="11" xfId="0" applyNumberFormat="1" applyFont="1" applyFill="1" applyBorder="1" applyAlignment="1" applyProtection="1">
      <protection locked="0"/>
    </xf>
    <xf numFmtId="0" fontId="1" fillId="7" borderId="31" xfId="0" applyFont="1" applyFill="1" applyBorder="1" applyAlignment="1" applyProtection="1">
      <alignment horizontal="left"/>
      <protection locked="0"/>
    </xf>
    <xf numFmtId="0" fontId="1" fillId="7" borderId="48" xfId="0" applyFont="1" applyFill="1" applyBorder="1" applyAlignment="1" applyProtection="1">
      <alignment horizontal="right"/>
      <protection locked="0"/>
    </xf>
    <xf numFmtId="165" fontId="8" fillId="7" borderId="1" xfId="1" applyNumberFormat="1" applyFont="1" applyFill="1" applyBorder="1" applyProtection="1">
      <protection locked="0"/>
    </xf>
    <xf numFmtId="0" fontId="1" fillId="7" borderId="11" xfId="0" applyFont="1" applyFill="1" applyBorder="1" applyAlignment="1" applyProtection="1">
      <alignment horizontal="left"/>
      <protection locked="0"/>
    </xf>
    <xf numFmtId="0" fontId="1" fillId="7" borderId="49" xfId="0" applyFont="1" applyFill="1" applyBorder="1" applyAlignment="1" applyProtection="1">
      <alignment horizontal="right"/>
      <protection locked="0"/>
    </xf>
    <xf numFmtId="165" fontId="8" fillId="7" borderId="21" xfId="1" applyNumberFormat="1" applyFont="1" applyFill="1" applyBorder="1" applyAlignment="1" applyProtection="1">
      <alignment horizontal="right"/>
      <protection locked="0"/>
    </xf>
    <xf numFmtId="0" fontId="1" fillId="7" borderId="11" xfId="0" applyFont="1" applyFill="1" applyBorder="1" applyAlignment="1" applyProtection="1">
      <alignment horizontal="left" wrapText="1"/>
      <protection locked="0"/>
    </xf>
    <xf numFmtId="0" fontId="1" fillId="7" borderId="49" xfId="0" applyFont="1" applyFill="1" applyBorder="1" applyAlignment="1" applyProtection="1">
      <alignment horizontal="right" wrapText="1"/>
      <protection locked="0"/>
    </xf>
    <xf numFmtId="0" fontId="2" fillId="7" borderId="11" xfId="0" applyFont="1" applyFill="1" applyBorder="1" applyAlignment="1" applyProtection="1">
      <alignment horizontal="left"/>
      <protection locked="0"/>
    </xf>
    <xf numFmtId="0" fontId="2" fillId="7" borderId="49" xfId="0"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9" xfId="0" applyFont="1" applyFill="1" applyBorder="1" applyProtection="1">
      <protection locked="0"/>
    </xf>
    <xf numFmtId="0" fontId="9" fillId="7" borderId="15" xfId="0" applyFont="1" applyFill="1" applyBorder="1" applyAlignment="1" applyProtection="1">
      <alignment horizontal="left"/>
      <protection locked="0"/>
    </xf>
    <xf numFmtId="0" fontId="9" fillId="7" borderId="50"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5" xfId="1" applyNumberFormat="1" applyFont="1" applyFill="1" applyBorder="1" applyProtection="1">
      <protection locked="0"/>
    </xf>
    <xf numFmtId="165" fontId="8" fillId="7" borderId="31" xfId="1" applyNumberFormat="1" applyFont="1" applyFill="1" applyBorder="1" applyProtection="1">
      <protection locked="0"/>
    </xf>
    <xf numFmtId="165" fontId="8" fillId="7" borderId="46"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9"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7"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50"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1" xfId="1" applyNumberFormat="1" applyFont="1" applyFill="1" applyBorder="1" applyProtection="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1" xfId="1" applyNumberFormat="1" applyFont="1" applyFill="1" applyBorder="1" applyProtection="1"/>
    <xf numFmtId="169" fontId="8" fillId="7" borderId="21" xfId="1" applyNumberFormat="1" applyFont="1" applyFill="1" applyBorder="1" applyProtection="1"/>
    <xf numFmtId="169" fontId="8" fillId="7" borderId="10" xfId="1" applyNumberFormat="1" applyFont="1" applyFill="1" applyBorder="1" applyProtection="1"/>
    <xf numFmtId="9" fontId="2" fillId="6" borderId="34" xfId="0" applyNumberFormat="1" applyFont="1" applyFill="1" applyBorder="1" applyAlignment="1">
      <alignment horizontal="center"/>
    </xf>
    <xf numFmtId="0" fontId="1" fillId="6" borderId="9" xfId="0" applyNumberFormat="1" applyFont="1" applyFill="1" applyBorder="1" applyAlignment="1" applyProtection="1">
      <alignment horizontal="center"/>
    </xf>
    <xf numFmtId="0" fontId="1" fillId="6" borderId="1" xfId="0" applyNumberFormat="1" applyFont="1" applyFill="1" applyBorder="1" applyAlignment="1" applyProtection="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16" xfId="0" applyNumberFormat="1" applyFont="1" applyFill="1" applyBorder="1" applyAlignment="1" applyProtection="1">
      <alignment horizontal="right"/>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165" fontId="8" fillId="7" borderId="6" xfId="1" applyNumberFormat="1" applyFont="1" applyFill="1" applyBorder="1" applyAlignment="1" applyProtection="1">
      <alignment horizontal="center"/>
      <protection locked="0"/>
    </xf>
    <xf numFmtId="0" fontId="1" fillId="2" borderId="0" xfId="0" applyFont="1" applyFill="1" applyBorder="1" applyAlignment="1">
      <alignment horizontal="right" wrapText="1"/>
    </xf>
    <xf numFmtId="3" fontId="8" fillId="10" borderId="34" xfId="0" applyNumberFormat="1" applyFont="1" applyFill="1" applyBorder="1" applyAlignment="1">
      <alignment horizontal="center"/>
    </xf>
    <xf numFmtId="9" fontId="1" fillId="10" borderId="34" xfId="0" applyNumberFormat="1" applyFont="1" applyFill="1" applyBorder="1" applyAlignment="1">
      <alignment horizontal="center"/>
    </xf>
    <xf numFmtId="3" fontId="8" fillId="10" borderId="12" xfId="0" applyNumberFormat="1" applyFont="1" applyFill="1" applyBorder="1" applyAlignment="1">
      <alignment horizontal="center"/>
    </xf>
    <xf numFmtId="169" fontId="8" fillId="9" borderId="11" xfId="0" applyNumberFormat="1" applyFont="1" applyFill="1" applyBorder="1" applyAlignment="1"/>
    <xf numFmtId="167" fontId="8" fillId="10" borderId="12" xfId="4" applyNumberFormat="1" applyFont="1" applyFill="1" applyBorder="1" applyAlignment="1">
      <alignment horizontal="center"/>
    </xf>
    <xf numFmtId="0" fontId="11" fillId="2" borderId="54"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8" xfId="0" applyFont="1" applyFill="1" applyBorder="1" applyAlignment="1">
      <alignment horizontal="center" vertical="center" wrapText="1"/>
    </xf>
    <xf numFmtId="165" fontId="8" fillId="10" borderId="1" xfId="1" applyNumberFormat="1" applyFont="1" applyFill="1" applyBorder="1"/>
    <xf numFmtId="164" fontId="8" fillId="3" borderId="24" xfId="0" applyNumberFormat="1" applyFont="1" applyFill="1" applyBorder="1" applyAlignment="1">
      <alignment horizontal="center"/>
    </xf>
    <xf numFmtId="167" fontId="8" fillId="2" borderId="0" xfId="4" applyNumberFormat="1" applyFont="1" applyFill="1" applyBorder="1" applyAlignment="1">
      <alignment horizontal="right"/>
    </xf>
    <xf numFmtId="165" fontId="8" fillId="10" borderId="2" xfId="1" applyNumberFormat="1" applyFont="1" applyFill="1" applyBorder="1"/>
    <xf numFmtId="165" fontId="8" fillId="10" borderId="3" xfId="1" applyNumberFormat="1" applyFont="1" applyFill="1" applyBorder="1"/>
    <xf numFmtId="0" fontId="33" fillId="0" borderId="0" xfId="0" applyFont="1" applyAlignment="1">
      <alignment wrapText="1"/>
    </xf>
    <xf numFmtId="0" fontId="33" fillId="2" borderId="0" xfId="0" applyFont="1" applyFill="1"/>
    <xf numFmtId="0" fontId="8" fillId="2" borderId="0" xfId="0" applyFont="1" applyFill="1" applyAlignment="1">
      <alignment wrapText="1"/>
    </xf>
    <xf numFmtId="0" fontId="1" fillId="9" borderId="31" xfId="0" applyFont="1" applyFill="1" applyBorder="1" applyAlignment="1">
      <alignment horizontal="right"/>
    </xf>
    <xf numFmtId="0" fontId="1" fillId="9" borderId="19" xfId="0" applyFont="1" applyFill="1" applyBorder="1" applyAlignment="1">
      <alignment horizontal="right"/>
    </xf>
    <xf numFmtId="165" fontId="8" fillId="9" borderId="20" xfId="1" applyNumberFormat="1" applyFont="1" applyFill="1" applyBorder="1"/>
    <xf numFmtId="165" fontId="8" fillId="9" borderId="1" xfId="1" applyNumberFormat="1" applyFont="1" applyFill="1" applyBorder="1"/>
    <xf numFmtId="0" fontId="1" fillId="9" borderId="11" xfId="0" applyFont="1" applyFill="1" applyBorder="1" applyAlignment="1">
      <alignment horizontal="right"/>
    </xf>
    <xf numFmtId="0" fontId="1" fillId="9" borderId="13" xfId="0" applyFont="1" applyFill="1" applyBorder="1" applyAlignment="1">
      <alignment horizontal="right"/>
    </xf>
    <xf numFmtId="165" fontId="8" fillId="9" borderId="55" xfId="1" applyNumberFormat="1" applyFont="1" applyFill="1" applyBorder="1"/>
    <xf numFmtId="165" fontId="8" fillId="9" borderId="21" xfId="1" applyNumberFormat="1" applyFont="1" applyFill="1" applyBorder="1"/>
    <xf numFmtId="0" fontId="1" fillId="9" borderId="11" xfId="0" applyFont="1" applyFill="1" applyBorder="1" applyAlignment="1">
      <alignment horizontal="right" wrapText="1"/>
    </xf>
    <xf numFmtId="0" fontId="1" fillId="9" borderId="13" xfId="0" applyFont="1" applyFill="1" applyBorder="1" applyAlignment="1">
      <alignment horizontal="right" wrapText="1"/>
    </xf>
    <xf numFmtId="0" fontId="2" fillId="9" borderId="11" xfId="0" applyFont="1" applyFill="1" applyBorder="1" applyAlignment="1">
      <alignment horizontal="right"/>
    </xf>
    <xf numFmtId="0" fontId="2" fillId="9" borderId="13" xfId="0" applyFont="1" applyFill="1" applyBorder="1" applyAlignment="1">
      <alignment horizontal="right"/>
    </xf>
    <xf numFmtId="0" fontId="9" fillId="9" borderId="11" xfId="0" applyFont="1" applyFill="1" applyBorder="1"/>
    <xf numFmtId="0" fontId="9" fillId="9" borderId="13" xfId="0" applyFont="1" applyFill="1" applyBorder="1"/>
    <xf numFmtId="0" fontId="9" fillId="9" borderId="15" xfId="0" applyFont="1" applyFill="1" applyBorder="1"/>
    <xf numFmtId="0" fontId="9" fillId="9" borderId="14" xfId="0" applyFont="1" applyFill="1" applyBorder="1"/>
    <xf numFmtId="165" fontId="8" fillId="9" borderId="23" xfId="1" applyNumberFormat="1" applyFont="1" applyFill="1" applyBorder="1"/>
    <xf numFmtId="165" fontId="8" fillId="9" borderId="2" xfId="1" applyNumberFormat="1" applyFont="1" applyFill="1" applyBorder="1"/>
    <xf numFmtId="0" fontId="8" fillId="2" borderId="0" xfId="0" applyFont="1" applyFill="1" applyAlignment="1">
      <alignment horizontal="center"/>
    </xf>
    <xf numFmtId="0" fontId="2" fillId="2" borderId="0" xfId="0" applyFont="1" applyFill="1" applyAlignment="1">
      <alignment horizontal="right"/>
    </xf>
    <xf numFmtId="0" fontId="34" fillId="9" borderId="11" xfId="0" applyFont="1" applyFill="1" applyBorder="1"/>
    <xf numFmtId="165" fontId="35" fillId="9" borderId="9" xfId="1" applyNumberFormat="1" applyFont="1" applyFill="1" applyBorder="1" applyAlignment="1">
      <alignment horizontal="center"/>
    </xf>
    <xf numFmtId="165" fontId="8" fillId="9" borderId="16" xfId="1" applyNumberFormat="1" applyFont="1" applyFill="1" applyBorder="1"/>
    <xf numFmtId="165" fontId="35" fillId="9" borderId="6" xfId="1" applyNumberFormat="1" applyFont="1" applyFill="1" applyBorder="1" applyAlignment="1">
      <alignment horizontal="center"/>
    </xf>
    <xf numFmtId="165" fontId="8" fillId="9" borderId="22" xfId="1" applyNumberFormat="1" applyFont="1" applyFill="1" applyBorder="1"/>
    <xf numFmtId="165" fontId="8" fillId="9" borderId="6" xfId="1" applyNumberFormat="1" applyFont="1" applyFill="1" applyBorder="1"/>
    <xf numFmtId="0" fontId="9" fillId="9" borderId="56" xfId="0" applyFont="1" applyFill="1" applyBorder="1"/>
    <xf numFmtId="165" fontId="8" fillId="9" borderId="10" xfId="1" applyNumberFormat="1" applyFont="1" applyFill="1" applyBorder="1"/>
    <xf numFmtId="165" fontId="8" fillId="9" borderId="17" xfId="1" applyNumberFormat="1" applyFont="1" applyFill="1" applyBorder="1"/>
    <xf numFmtId="1" fontId="8" fillId="9" borderId="11" xfId="0" applyNumberFormat="1" applyFont="1" applyFill="1" applyBorder="1" applyAlignment="1">
      <alignment horizontal="center"/>
    </xf>
    <xf numFmtId="1" fontId="8" fillId="7" borderId="11" xfId="0" applyNumberFormat="1" applyFont="1" applyFill="1" applyBorder="1" applyAlignment="1" applyProtection="1">
      <alignment horizontal="center"/>
      <protection locked="0"/>
    </xf>
    <xf numFmtId="1" fontId="8" fillId="6" borderId="34" xfId="0" applyNumberFormat="1" applyFont="1" applyFill="1" applyBorder="1" applyAlignment="1">
      <alignment horizontal="center"/>
    </xf>
    <xf numFmtId="165" fontId="8" fillId="7" borderId="6" xfId="1" applyNumberFormat="1" applyFont="1" applyFill="1" applyBorder="1" applyAlignment="1" applyProtection="1">
      <alignment horizontal="center"/>
      <protection locked="0"/>
    </xf>
    <xf numFmtId="0" fontId="8" fillId="7" borderId="48" xfId="1" applyNumberFormat="1" applyFont="1" applyFill="1" applyBorder="1" applyProtection="1">
      <protection locked="0"/>
    </xf>
    <xf numFmtId="0" fontId="8" fillId="7" borderId="49" xfId="1" applyNumberFormat="1" applyFont="1" applyFill="1" applyBorder="1" applyProtection="1">
      <protection locked="0"/>
    </xf>
    <xf numFmtId="0" fontId="9" fillId="10" borderId="9" xfId="0" applyFont="1" applyFill="1" applyBorder="1" applyAlignment="1">
      <alignment horizontal="center"/>
    </xf>
    <xf numFmtId="0" fontId="8" fillId="0" borderId="1" xfId="0" applyFont="1" applyBorder="1" applyAlignment="1"/>
    <xf numFmtId="0" fontId="8" fillId="0" borderId="16" xfId="0" applyFont="1" applyBorder="1" applyAlignment="1"/>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0" fontId="1" fillId="2" borderId="0" xfId="0" applyFont="1" applyFill="1" applyBorder="1" applyAlignment="1">
      <alignment horizontal="right" wrapText="1"/>
    </xf>
    <xf numFmtId="0" fontId="30" fillId="2" borderId="0" xfId="0" applyFont="1" applyFill="1" applyAlignment="1">
      <alignment horizontal="left" vertical="center" wrapText="1"/>
    </xf>
    <xf numFmtId="0" fontId="32" fillId="2" borderId="0" xfId="0" applyFont="1" applyFill="1" applyAlignment="1">
      <alignment horizontal="left" vertical="center" wrapText="1"/>
    </xf>
    <xf numFmtId="0" fontId="0" fillId="2" borderId="0" xfId="0" applyFill="1" applyAlignment="1">
      <alignment wrapText="1"/>
    </xf>
    <xf numFmtId="0" fontId="2" fillId="2" borderId="29" xfId="0" applyFont="1" applyFill="1" applyBorder="1" applyAlignment="1">
      <alignment horizontal="left"/>
    </xf>
    <xf numFmtId="0" fontId="7" fillId="9" borderId="14" xfId="3" applyFill="1" applyBorder="1" applyAlignment="1" applyProtection="1">
      <alignment horizontal="center"/>
    </xf>
    <xf numFmtId="0" fontId="8" fillId="9" borderId="14" xfId="0" applyFont="1" applyFill="1" applyBorder="1" applyAlignment="1">
      <alignment horizontal="center"/>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9" borderId="19" xfId="0" applyFont="1" applyFill="1" applyBorder="1" applyAlignment="1">
      <alignment horizontal="center"/>
    </xf>
    <xf numFmtId="168" fontId="8" fillId="9" borderId="13" xfId="0" applyNumberFormat="1" applyFont="1" applyFill="1" applyBorder="1" applyAlignment="1">
      <alignment horizontal="center"/>
    </xf>
    <xf numFmtId="0" fontId="8" fillId="9" borderId="13" xfId="0" applyFont="1" applyFill="1" applyBorder="1" applyAlignment="1">
      <alignment horizontal="center"/>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7" borderId="19" xfId="0" applyFont="1" applyFill="1" applyBorder="1" applyAlignment="1" applyProtection="1">
      <alignment horizontal="center"/>
      <protection locked="0"/>
    </xf>
    <xf numFmtId="168" fontId="10" fillId="7" borderId="13" xfId="0" applyNumberFormat="1" applyFont="1" applyFill="1" applyBorder="1" applyAlignment="1" applyProtection="1">
      <alignment horizontal="left"/>
      <protection locked="0"/>
    </xf>
    <xf numFmtId="168" fontId="8" fillId="7" borderId="13" xfId="0" applyNumberFormat="1"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8" fillId="7" borderId="13" xfId="0" applyFont="1" applyFill="1" applyBorder="1" applyAlignment="1" applyProtection="1">
      <alignment horizontal="left"/>
      <protection locked="0"/>
    </xf>
    <xf numFmtId="0" fontId="7" fillId="7" borderId="14" xfId="3" applyFill="1" applyBorder="1" applyAlignment="1" applyProtection="1">
      <alignment horizontal="left"/>
      <protection locked="0"/>
    </xf>
    <xf numFmtId="0" fontId="8" fillId="7" borderId="14" xfId="0" applyFont="1" applyFill="1" applyBorder="1" applyAlignment="1" applyProtection="1">
      <alignment horizontal="left"/>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0" fontId="12" fillId="2" borderId="0" xfId="0" applyFont="1" applyFill="1" applyBorder="1" applyAlignment="1">
      <alignment horizontal="center"/>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168" fontId="8" fillId="7" borderId="13" xfId="0" applyNumberFormat="1"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7" fillId="7" borderId="14" xfId="3" applyFill="1" applyBorder="1" applyAlignment="1" applyProtection="1">
      <alignment horizontal="center"/>
      <protection locked="0"/>
    </xf>
    <xf numFmtId="0" fontId="8" fillId="7" borderId="14" xfId="0" applyFont="1" applyFill="1" applyBorder="1" applyAlignment="1" applyProtection="1">
      <alignment horizontal="center"/>
      <protection locked="0"/>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18" xfId="0" applyFont="1" applyFill="1" applyBorder="1" applyAlignment="1">
      <alignment horizontal="center"/>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078700"/>
          <a:ext cx="11610975" cy="21844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2717125"/>
          <a:ext cx="11668126" cy="308927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3201" y="4121151"/>
          <a:ext cx="11493499"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2014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2014 for the purpose of meeting its Energy Independence Act (EIA) renewables target for 2014. The actual resources and RECs used to comply with the 2014 EIA target may vary from those reported here. Utilities will report in June of 2016 on the actual results for 2014.</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2014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25400</xdr:colOff>
          <xdr:row>8</xdr:row>
          <xdr:rowOff>6350</xdr:rowOff>
        </xdr:from>
        <xdr:to>
          <xdr:col>4</xdr:col>
          <xdr:colOff>571500</xdr:colOff>
          <xdr:row>9</xdr:row>
          <xdr:rowOff>25400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25400</xdr:colOff>
          <xdr:row>9</xdr:row>
          <xdr:rowOff>31750</xdr:rowOff>
        </xdr:from>
        <xdr:to>
          <xdr:col>5</xdr:col>
          <xdr:colOff>0</xdr:colOff>
          <xdr:row>10</xdr:row>
          <xdr:rowOff>31750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25400</xdr:colOff>
          <xdr:row>10</xdr:row>
          <xdr:rowOff>69850</xdr:rowOff>
        </xdr:from>
        <xdr:to>
          <xdr:col>5</xdr:col>
          <xdr:colOff>114300</xdr:colOff>
          <xdr:row>11</xdr:row>
          <xdr:rowOff>6350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78</xdr:row>
      <xdr:rowOff>152400</xdr:rowOff>
    </xdr:to>
    <xdr:sp macro="" textlink="">
      <xdr:nvSpPr>
        <xdr:cNvPr id="2" name="TextBox 1"/>
        <xdr:cNvSpPr txBox="1"/>
      </xdr:nvSpPr>
      <xdr:spPr>
        <a:xfrm>
          <a:off x="38100" y="7629525"/>
          <a:ext cx="8406765" cy="104679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US" sz="1100" baseline="0">
              <a:solidFill>
                <a:schemeClr val="dk1"/>
              </a:solidFill>
              <a:effectLst/>
              <a:latin typeface="+mn-lt"/>
              <a:ea typeface="+mn-ea"/>
              <a:cs typeface="+mn-cs"/>
            </a:rPr>
            <a:t>The following steps were taken to establish the 10-year potential:</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1) </a:t>
          </a:r>
          <a:r>
            <a:rPr lang="en-US" sz="1100" b="0" i="0" u="none" strike="noStrike" baseline="0" smtClean="0">
              <a:solidFill>
                <a:schemeClr val="dk1"/>
              </a:solidFill>
              <a:latin typeface="+mn-lt"/>
              <a:ea typeface="+mn-ea"/>
              <a:cs typeface="+mn-cs"/>
            </a:rPr>
            <a:t>All of the Council's current energy efficiency measures (Sixth and Seventh Plan measures) were evaluated to determine which had greater benefits than costs. </a:t>
          </a: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	</a:t>
          </a:r>
          <a:endParaRPr lang="en-US">
            <a:effectLst/>
          </a:endParaRPr>
        </a:p>
        <a:p>
          <a:r>
            <a:rPr lang="en-US" sz="1100" b="0" i="0" baseline="0">
              <a:solidFill>
                <a:schemeClr val="dk1"/>
              </a:solidFill>
              <a:effectLst/>
              <a:latin typeface="+mn-lt"/>
              <a:ea typeface="+mn-ea"/>
              <a:cs typeface="+mn-cs"/>
            </a:rPr>
            <a:t>2) </a:t>
          </a:r>
          <a:r>
            <a:rPr lang="en-US" sz="1100" b="0" i="0" u="none" strike="noStrike" baseline="0" smtClean="0">
              <a:solidFill>
                <a:schemeClr val="dk1"/>
              </a:solidFill>
              <a:latin typeface="+mn-lt"/>
              <a:ea typeface="+mn-ea"/>
              <a:cs typeface="+mn-cs"/>
            </a:rPr>
            <a:t>The life-cycle cost analysis was performed using the Council’s ProCost model. Incremental costs, savings, and lifetimes for each measure were the basis for this analysis. The Council and RTF assumptions were utilized. </a:t>
          </a:r>
        </a:p>
        <a:p>
          <a:r>
            <a:rPr lang="en-US" sz="1100" b="0" i="0" u="none" strike="noStrike" baseline="0" smtClean="0">
              <a:solidFill>
                <a:schemeClr val="dk1"/>
              </a:solidFill>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3) </a:t>
          </a:r>
          <a:r>
            <a:rPr lang="en-US" sz="1100" b="0" i="0" u="none" strike="noStrike" baseline="0" smtClean="0">
              <a:solidFill>
                <a:schemeClr val="dk1"/>
              </a:solidFill>
              <a:latin typeface="+mn-lt"/>
              <a:ea typeface="+mn-ea"/>
              <a:cs typeface="+mn-cs"/>
            </a:rPr>
            <a:t>A regional market price forecast for the planning period was created and provided by EES. In order to evaluate market price risk in Clallam PUD’s CPA, three conservation scenarios are evaluated: </a:t>
          </a:r>
          <a:r>
            <a:rPr lang="en-US" sz="1100" b="0" i="1" u="none" strike="noStrike" baseline="0" smtClean="0">
              <a:solidFill>
                <a:schemeClr val="dk1"/>
              </a:solidFill>
              <a:latin typeface="+mn-lt"/>
              <a:ea typeface="+mn-ea"/>
              <a:cs typeface="+mn-cs"/>
            </a:rPr>
            <a:t>Base</a:t>
          </a:r>
          <a:r>
            <a:rPr lang="en-US" sz="1100" b="0" i="0" u="none" strike="noStrike" baseline="0" smtClean="0">
              <a:solidFill>
                <a:schemeClr val="dk1"/>
              </a:solidFill>
              <a:latin typeface="+mn-lt"/>
              <a:ea typeface="+mn-ea"/>
              <a:cs typeface="+mn-cs"/>
            </a:rPr>
            <a:t>, </a:t>
          </a:r>
          <a:r>
            <a:rPr lang="en-US" sz="1100" b="0" i="1" u="none" strike="noStrike" baseline="0" smtClean="0">
              <a:solidFill>
                <a:schemeClr val="dk1"/>
              </a:solidFill>
              <a:latin typeface="+mn-lt"/>
              <a:ea typeface="+mn-ea"/>
              <a:cs typeface="+mn-cs"/>
            </a:rPr>
            <a:t>High</a:t>
          </a:r>
          <a:r>
            <a:rPr lang="en-US" sz="1100" b="0" i="0" u="none" strike="noStrike" baseline="0" smtClean="0">
              <a:solidFill>
                <a:schemeClr val="dk1"/>
              </a:solidFill>
              <a:latin typeface="+mn-lt"/>
              <a:ea typeface="+mn-ea"/>
              <a:cs typeface="+mn-cs"/>
            </a:rPr>
            <a:t>, and </a:t>
          </a:r>
          <a:r>
            <a:rPr lang="en-US" sz="1100" b="0" i="1" u="none" strike="noStrike" baseline="0" smtClean="0">
              <a:solidFill>
                <a:schemeClr val="dk1"/>
              </a:solidFill>
              <a:latin typeface="+mn-lt"/>
              <a:ea typeface="+mn-ea"/>
              <a:cs typeface="+mn-cs"/>
            </a:rPr>
            <a:t>Low</a:t>
          </a:r>
          <a:r>
            <a:rPr lang="en-US" sz="1100" b="0" i="0" u="none" strike="noStrike" baseline="0" smtClean="0">
              <a:solidFill>
                <a:schemeClr val="dk1"/>
              </a:solidFill>
              <a:latin typeface="+mn-lt"/>
              <a:ea typeface="+mn-ea"/>
              <a:cs typeface="+mn-cs"/>
            </a:rPr>
            <a:t>.  These scenarios model market price risk deterministically by evaluating energy efficiency under different market price levels with the inclusion of risk adders. </a:t>
          </a: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	</a:t>
          </a:r>
          <a:endParaRPr lang="en-US">
            <a:effectLst/>
          </a:endParaRPr>
        </a:p>
        <a:p>
          <a:r>
            <a:rPr lang="en-US" sz="1100" b="0" i="0" baseline="0">
              <a:solidFill>
                <a:schemeClr val="dk1"/>
              </a:solidFill>
              <a:effectLst/>
              <a:latin typeface="+mn-lt"/>
              <a:ea typeface="+mn-ea"/>
              <a:cs typeface="+mn-cs"/>
            </a:rPr>
            <a:t>	- </a:t>
          </a:r>
          <a:r>
            <a:rPr lang="en-US" sz="1100" b="0" i="1" u="none" strike="noStrike" baseline="0" smtClean="0">
              <a:solidFill>
                <a:schemeClr val="dk1"/>
              </a:solidFill>
              <a:latin typeface="+mn-lt"/>
              <a:ea typeface="+mn-ea"/>
              <a:cs typeface="+mn-cs"/>
            </a:rPr>
            <a:t>Base Case Conservation Scenario: </a:t>
          </a:r>
          <a:r>
            <a:rPr lang="en-US" sz="1100" b="0" i="0" u="none" strike="noStrike" baseline="0" smtClean="0">
              <a:solidFill>
                <a:schemeClr val="dk1"/>
              </a:solidFill>
              <a:latin typeface="+mn-lt"/>
              <a:ea typeface="+mn-ea"/>
              <a:cs typeface="+mn-cs"/>
            </a:rPr>
            <a:t>Conservation resources will help Clallam PUD meet its future load requirements and also 		help avoid REC purchases. Therefore, a risk mitigation credit is included in Clallam PUD’s base case conservation 		scenario. The risk mitigation credit, $25/MWh, is based on a forecast of future REC prices over the study period. </a:t>
          </a:r>
          <a:endParaRPr lang="en-US" sz="1100" b="0" i="1" u="none" strike="noStrike" baseline="0" smtClean="0">
            <a:solidFill>
              <a:schemeClr val="dk1"/>
            </a:solidFill>
            <a:latin typeface="+mn-lt"/>
            <a:ea typeface="+mn-ea"/>
            <a:cs typeface="+mn-cs"/>
          </a:endParaRPr>
        </a:p>
        <a:p>
          <a:r>
            <a:rPr lang="en-US" sz="1100" b="0" i="1" u="none" strike="noStrike" baseline="0" smtClean="0">
              <a:solidFill>
                <a:schemeClr val="dk1"/>
              </a:solidFill>
              <a:effectLst/>
              <a:latin typeface="+mn-lt"/>
              <a:ea typeface="+mn-ea"/>
              <a:cs typeface="+mn-cs"/>
            </a:rPr>
            <a:t>	- </a:t>
          </a:r>
          <a:r>
            <a:rPr lang="en-US" sz="1100" b="0" i="1" u="none" strike="noStrike" baseline="0" smtClean="0">
              <a:solidFill>
                <a:schemeClr val="dk1"/>
              </a:solidFill>
              <a:latin typeface="+mn-lt"/>
              <a:ea typeface="+mn-ea"/>
              <a:cs typeface="+mn-cs"/>
            </a:rPr>
            <a:t>High Conservation Scenario: </a:t>
          </a:r>
          <a:r>
            <a:rPr lang="en-US" sz="1100" b="0" i="0" u="none" strike="noStrike" baseline="0" smtClean="0">
              <a:solidFill>
                <a:schemeClr val="dk1"/>
              </a:solidFill>
              <a:latin typeface="+mn-lt"/>
              <a:ea typeface="+mn-ea"/>
              <a:cs typeface="+mn-cs"/>
            </a:rPr>
            <a:t>In the 2013 CPA, the high conservation scenario included risk adders of $35 and $50/MWh for 		non-lost opportunity and lost opportunity measures, respectively. These adders are consistent with those used 		in the Council’s 6th Power Plan. Since the 2013 CPA, the market price forecast has decreased by 17 percent on 		average. While market prices have fallen, the risk of market price increases is unchanged. Therefore, the 2013 		CPA risk adders are increased by 17 percent to $40.95 and $58.50/MWh respectively for the 2015 CPA ($2015). 		The underlying assumption to this methodology is that the upside risk of market prices is the same as it was in 		2013; however, the base case market price forecast has decreased. These risk adders represent uncertainty in 		market prices inclusive of factors such as fuel price risk, </a:t>
          </a:r>
          <a:endParaRPr lang="en-US" sz="1100" b="0" i="1" u="none" strike="noStrike" baseline="0" smtClean="0">
            <a:solidFill>
              <a:schemeClr val="dk1"/>
            </a:solidFill>
            <a:latin typeface="+mn-lt"/>
            <a:ea typeface="+mn-ea"/>
            <a:cs typeface="+mn-cs"/>
          </a:endParaRPr>
        </a:p>
        <a:p>
          <a:r>
            <a:rPr lang="en-US" sz="1100" b="0" i="1" u="none" strike="noStrike" baseline="0" smtClean="0">
              <a:solidFill>
                <a:schemeClr val="dk1"/>
              </a:solidFill>
              <a:effectLst/>
              <a:latin typeface="+mn-lt"/>
              <a:ea typeface="+mn-ea"/>
              <a:cs typeface="+mn-cs"/>
            </a:rPr>
            <a:t>	- </a:t>
          </a:r>
          <a:r>
            <a:rPr lang="en-US" sz="1100" b="0" i="1" u="none" strike="noStrike" baseline="0" smtClean="0">
              <a:solidFill>
                <a:schemeClr val="dk1"/>
              </a:solidFill>
              <a:latin typeface="+mn-lt"/>
              <a:ea typeface="+mn-ea"/>
              <a:cs typeface="+mn-cs"/>
            </a:rPr>
            <a:t>Low </a:t>
          </a:r>
          <a:r>
            <a:rPr lang="en-US" sz="1100" b="0" i="1" baseline="0">
              <a:solidFill>
                <a:schemeClr val="dk1"/>
              </a:solidFill>
              <a:effectLst/>
              <a:latin typeface="+mn-lt"/>
              <a:ea typeface="+mn-ea"/>
              <a:cs typeface="+mn-cs"/>
            </a:rPr>
            <a:t>Conservation </a:t>
          </a:r>
          <a:r>
            <a:rPr lang="en-US" sz="1100" b="0" i="1" u="none" strike="noStrike" baseline="0" smtClean="0">
              <a:solidFill>
                <a:schemeClr val="dk1"/>
              </a:solidFill>
              <a:latin typeface="+mn-lt"/>
              <a:ea typeface="+mn-ea"/>
              <a:cs typeface="+mn-cs"/>
            </a:rPr>
            <a:t>Scenario: </a:t>
          </a:r>
          <a:r>
            <a:rPr lang="en-US" sz="1100" b="0" i="0" u="none" strike="noStrike" baseline="0" smtClean="0">
              <a:solidFill>
                <a:schemeClr val="dk1"/>
              </a:solidFill>
              <a:latin typeface="+mn-lt"/>
              <a:ea typeface="+mn-ea"/>
              <a:cs typeface="+mn-cs"/>
            </a:rPr>
            <a:t>The Low conservation scenario evaluates energy efficiency cost effectiveness assuming no risk 		mitigation credits. This scenario reflects a low growth scenario coupled with a low avoided cost inclusive of 		market purchases (or Tier 2) and RECs. </a:t>
          </a:r>
          <a:r>
            <a:rPr lang="en-US" sz="1100" b="0" i="1" u="none" strike="noStrike" baseline="0" smtClean="0">
              <a:solidFill>
                <a:schemeClr val="dk1"/>
              </a:solidFill>
              <a:latin typeface="+mn-lt"/>
              <a:ea typeface="+mn-ea"/>
              <a:cs typeface="+mn-cs"/>
            </a:rPr>
            <a:t> </a:t>
          </a:r>
        </a:p>
        <a:p>
          <a:endParaRPr lang="en-US" sz="1100" b="0" i="1" u="none" strike="noStrike" baseline="0" smtClean="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4) T</a:t>
          </a:r>
          <a:r>
            <a:rPr lang="en-US" sz="1100" b="0" i="0" u="none" strike="noStrike" baseline="0" smtClean="0">
              <a:solidFill>
                <a:schemeClr val="dk1"/>
              </a:solidFill>
              <a:latin typeface="+mn-lt"/>
              <a:ea typeface="+mn-ea"/>
              <a:cs typeface="+mn-cs"/>
            </a:rPr>
            <a:t>he Council's Sixth Plan default measure load shapes were used to calculate time of day usage and measure values were weighted based upon peak and off-peak pricing. This was handled using the Council’s ProCost program so it was handled in the same way as the Sixth Power Plan models. 	</a:t>
          </a:r>
        </a:p>
        <a:p>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5) </a:t>
          </a:r>
          <a:r>
            <a:rPr lang="en-US" sz="1100" b="0" i="0" u="none" strike="noStrike" baseline="0" smtClean="0">
              <a:solidFill>
                <a:schemeClr val="dk1"/>
              </a:solidFill>
              <a:latin typeface="+mn-lt"/>
              <a:ea typeface="+mn-ea"/>
              <a:cs typeface="+mn-cs"/>
            </a:rPr>
            <a:t>Cost analysis was conducted according to the Council's methodology. Capital cost, administrative cost, annual O&amp;M cost and periodic replacement costs were all considered on the cost side. Energy, non-energy, O&amp;M and all other quantifiable benefits were included on the benefits side. The Total Resource Cost (TRC) benefit cost ratio was used to screen measures for cost-effectiveness (I.e., those greater than 1 are cost-effective). 	</a:t>
          </a:r>
        </a:p>
        <a:p>
          <a:pPr eaLnBrk="1" fontAlgn="auto" latinLnBrk="0" hangingPunct="1"/>
          <a:r>
            <a:rPr lang="en-US" sz="1100" b="0" i="0" baseline="0">
              <a:solidFill>
                <a:schemeClr val="dk1"/>
              </a:solidFill>
              <a:effectLst/>
              <a:latin typeface="+mn-lt"/>
              <a:ea typeface="+mn-ea"/>
              <a:cs typeface="+mn-cs"/>
            </a:rPr>
            <a:t>	</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6) </a:t>
          </a:r>
          <a:r>
            <a:rPr lang="en-US" sz="1100" b="0" i="0" u="none" strike="noStrike" baseline="0" smtClean="0">
              <a:solidFill>
                <a:schemeClr val="dk1"/>
              </a:solidFill>
              <a:latin typeface="+mn-lt"/>
              <a:ea typeface="+mn-ea"/>
              <a:cs typeface="+mn-cs"/>
            </a:rPr>
            <a:t>Benefits and costs were evaluated using multiple inputs; benefit was then divided by cost. Measures achieving a BC ratio of &gt;= 1 were tallied. These measures are considered achievable and cost-effective (or “economically achievable”). 	</a:t>
          </a:r>
        </a:p>
        <a:p>
          <a:pPr eaLnBrk="1" fontAlgn="auto" latinLnBrk="0" hangingPunct="1"/>
          <a:endParaRPr lang="en-US" sz="110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7) </a:t>
          </a:r>
          <a:r>
            <a:rPr lang="en-US" sz="1100" b="0" i="0" u="none" strike="noStrike" baseline="0" smtClean="0">
              <a:solidFill>
                <a:schemeClr val="dk1"/>
              </a:solidFill>
              <a:latin typeface="+mn-lt"/>
              <a:ea typeface="+mn-ea"/>
              <a:cs typeface="+mn-cs"/>
            </a:rPr>
            <a:t>Operations and maintenance costs for each measure were accounted for in the total resource cost according to the Council's assumptions. 	</a:t>
          </a: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8) </a:t>
          </a:r>
          <a:r>
            <a:rPr lang="en-US" sz="1100" b="0" i="0" u="none" strike="noStrike" baseline="0" smtClean="0">
              <a:solidFill>
                <a:schemeClr val="dk1"/>
              </a:solidFill>
              <a:latin typeface="+mn-lt"/>
              <a:ea typeface="+mn-ea"/>
              <a:cs typeface="+mn-cs"/>
            </a:rPr>
            <a:t>Deferred capacity expansion benefits were given a benefit of $31/kW-yr for local and $26/kW-yr for bulk transmission in the cost-effectiveness analysis. This is the same assumption used by the Council in the development of the Seventh Power Plan. 	</a:t>
          </a:r>
        </a:p>
        <a:p>
          <a:pPr eaLnBrk="1" fontAlgn="auto" latinLnBrk="0" hangingPunct="1"/>
          <a:endParaRPr lang="en-US" sz="110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9) </a:t>
          </a:r>
          <a:r>
            <a:rPr lang="en-US" sz="1100" b="0" i="0" u="none" strike="noStrike" baseline="0" smtClean="0">
              <a:solidFill>
                <a:schemeClr val="dk1"/>
              </a:solidFill>
              <a:latin typeface="+mn-lt"/>
              <a:ea typeface="+mn-ea"/>
              <a:cs typeface="+mn-cs"/>
            </a:rPr>
            <a:t>Quantifiable non-energy benefits were included where appropriate. Assumptions for non-energy benefits are the same as in the Councils Sixth/Seventh Power Plan. Non-energy benefits include, for example, water savings from clothes washers. 	</a:t>
          </a:r>
        </a:p>
        <a:p>
          <a:pPr eaLnBrk="1" fontAlgn="auto" latinLnBrk="0" hangingPunct="1"/>
          <a:endParaRPr lang="en-US" sz="110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10) </a:t>
          </a:r>
          <a:r>
            <a:rPr lang="en-US" sz="1100" b="0" i="0" u="none" strike="noStrike" baseline="0" smtClean="0">
              <a:solidFill>
                <a:schemeClr val="dk1"/>
              </a:solidFill>
              <a:latin typeface="+mn-lt"/>
              <a:ea typeface="+mn-ea"/>
              <a:cs typeface="+mn-cs"/>
            </a:rPr>
            <a:t>Total costs were tabulated and an estimated 20% of total was assigned as the administrative cost. This value is consistent with regional average and BPA programs. The 20% value was used in the Fifth, Sixth, and Seventh Power plans. 	</a:t>
          </a:r>
        </a:p>
        <a:p>
          <a:pPr eaLnBrk="1" fontAlgn="auto" latinLnBrk="0" hangingPunct="1"/>
          <a:endParaRPr lang="en-US" sz="110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11) </a:t>
          </a:r>
          <a:r>
            <a:rPr lang="en-US" sz="1100" b="0" i="0" u="none" strike="noStrike" baseline="0" smtClean="0">
              <a:solidFill>
                <a:schemeClr val="dk1"/>
              </a:solidFill>
              <a:latin typeface="+mn-lt"/>
              <a:ea typeface="+mn-ea"/>
              <a:cs typeface="+mn-cs"/>
            </a:rPr>
            <a:t>Discount rates were applied to each measure based upon the Council's methodology. Real discount rate = 4.25%, based on the utility’s real internal discount rate. </a:t>
          </a: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12) </a:t>
          </a:r>
          <a:r>
            <a:rPr lang="en-US" sz="1100" b="0" i="0" u="none" strike="noStrike" baseline="0" smtClean="0">
              <a:solidFill>
                <a:schemeClr val="dk1"/>
              </a:solidFill>
              <a:latin typeface="+mn-lt"/>
              <a:ea typeface="+mn-ea"/>
              <a:cs typeface="+mn-cs"/>
            </a:rPr>
            <a:t>The assessment conducted for Clallam PUD was for the 20-year planning period, thus 85% for retrofit measures and 65% for lost opportunity measures were used to determine potential. 	</a:t>
          </a:r>
        </a:p>
        <a:p>
          <a:pPr marL="0" marR="0" indent="0" defTabSz="914400" eaLnBrk="1" fontAlgn="auto" latinLnBrk="0" hangingPunct="1">
            <a:lnSpc>
              <a:spcPct val="100000"/>
            </a:lnSpc>
            <a:spcBef>
              <a:spcPts val="0"/>
            </a:spcBef>
            <a:spcAft>
              <a:spcPts val="0"/>
            </a:spcAft>
            <a:buClrTx/>
            <a:buSzTx/>
            <a:buFontTx/>
            <a:buNone/>
            <a:tabLst/>
            <a:defRPr/>
          </a:pPr>
          <a:endParaRPr lang="en-US" sz="1100" b="0" i="0" u="none" strike="noStrike" baseline="0" smtClean="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13) A 10% bonus was added to all measures in the model parameters per the Conservation Act. 	</a:t>
          </a:r>
        </a:p>
        <a:p>
          <a:pPr eaLnBrk="1" fontAlgn="auto" latinLnBrk="0" hangingPunct="1"/>
          <a:endParaRPr lang="en-US" sz="110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14) </a:t>
          </a:r>
          <a:r>
            <a:rPr lang="en-US" sz="1100" b="0" i="0" u="none" strike="noStrike" baseline="0" smtClean="0">
              <a:solidFill>
                <a:schemeClr val="dk1"/>
              </a:solidFill>
              <a:latin typeface="+mn-lt"/>
              <a:ea typeface="+mn-ea"/>
              <a:cs typeface="+mn-cs"/>
            </a:rPr>
            <a:t>Accelerated, low, and high scenarios were run and plotted next to the base-case scenario. Ramp rates were also utilized to adjust for Clallam PUD’s programs. 	</a:t>
          </a:r>
        </a:p>
        <a:p>
          <a:pPr eaLnBrk="1" fontAlgn="auto" latinLnBrk="0" hangingPunct="1"/>
          <a:endParaRPr lang="en-US" sz="110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15) </a:t>
          </a:r>
          <a:r>
            <a:rPr lang="en-US" sz="1100" b="0" i="0" u="none" strike="noStrike" baseline="0" smtClean="0">
              <a:solidFill>
                <a:schemeClr val="dk1"/>
              </a:solidFill>
              <a:latin typeface="+mn-lt"/>
              <a:ea typeface="+mn-ea"/>
              <a:cs typeface="+mn-cs"/>
            </a:rPr>
            <a:t>The avoided cost data include estimates of future high, medium, and low CO2 costs. 	</a:t>
          </a:r>
        </a:p>
        <a:p>
          <a:pPr eaLnBrk="1" fontAlgn="auto" latinLnBrk="0" hangingPunct="1"/>
          <a:r>
            <a:rPr lang="en-US" sz="1100" b="0" i="0" baseline="0">
              <a:solidFill>
                <a:schemeClr val="dk1"/>
              </a:solidFill>
              <a:effectLst/>
              <a:latin typeface="+mn-lt"/>
              <a:ea typeface="+mn-ea"/>
              <a:cs typeface="+mn-cs"/>
            </a:rPr>
            <a:t>	</a:t>
          </a:r>
          <a:endParaRPr lang="en-US">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44725"/>
              <a:ext cx="3333750" cy="685800"/>
              <a:chOff x="1362075" y="2266953"/>
              <a:chExt cx="1524000" cy="533395"/>
            </a:xfrm>
          </xdr:grpSpPr>
          <xdr:sp macro="" textlink="">
            <xdr:nvSpPr>
              <xdr:cNvPr id="5453" name="Check Box 333" hidden="1">
                <a:extLst>
                  <a:ext uri="{63B3BB69-23CF-44E3-9099-C40C66FF867C}">
                    <a14:compatExt spid="_x0000_s5453"/>
                  </a:ext>
                </a:extLst>
              </xdr:cNvPr>
              <xdr:cNvSpPr/>
            </xdr:nvSpPr>
            <xdr:spPr bwMode="auto">
              <a:xfrm>
                <a:off x="1362075" y="2714623"/>
                <a:ext cx="1524000" cy="857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bwMode="auto">
              <a:xfrm>
                <a:off x="1362075" y="2447925"/>
                <a:ext cx="14478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bwMode="auto">
              <a:xfrm>
                <a:off x="1362075" y="2266953"/>
                <a:ext cx="1352550"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61</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1.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workbookViewId="0">
      <selection activeCell="A5" sqref="A5"/>
    </sheetView>
  </sheetViews>
  <sheetFormatPr defaultRowHeight="14.5" x14ac:dyDescent="0.35"/>
  <cols>
    <col min="1" max="1" width="135.08984375" customWidth="1"/>
    <col min="14" max="14" width="11.6328125" customWidth="1"/>
  </cols>
  <sheetData>
    <row r="1" spans="1:14" ht="17" x14ac:dyDescent="0.35">
      <c r="A1" s="72" t="s">
        <v>194</v>
      </c>
    </row>
    <row r="2" spans="1:14" x14ac:dyDescent="0.35">
      <c r="A2" s="73" t="s">
        <v>110</v>
      </c>
    </row>
    <row r="3" spans="1:14" x14ac:dyDescent="0.35">
      <c r="A3" s="72"/>
      <c r="N3" s="43"/>
    </row>
    <row r="4" spans="1:14" x14ac:dyDescent="0.35">
      <c r="A4" s="71" t="s">
        <v>111</v>
      </c>
    </row>
    <row r="5" spans="1:14" x14ac:dyDescent="0.35">
      <c r="A5" s="71" t="s">
        <v>106</v>
      </c>
      <c r="N5">
        <f>IF(REN_Load_2015+REN_Load_2014&gt;0,AVERAGE(REN_Load_2015,REN_Load_2014),0)</f>
        <v>610897</v>
      </c>
    </row>
    <row r="6" spans="1:14" x14ac:dyDescent="0.35">
      <c r="A6" s="71" t="s">
        <v>197</v>
      </c>
    </row>
    <row r="8" spans="1:14" x14ac:dyDescent="0.35">
      <c r="A8" s="74" t="s">
        <v>192</v>
      </c>
    </row>
    <row r="9" spans="1:14" x14ac:dyDescent="0.35">
      <c r="A9" s="75" t="s">
        <v>193</v>
      </c>
    </row>
  </sheetData>
  <sheetProtection sheet="1" objects="1" scenarios="1"/>
  <pageMargins left="0.7" right="0.7" top="0.75" bottom="0.75" header="0.3" footer="0.3"/>
  <pageSetup scale="4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10" sqref="A10"/>
    </sheetView>
  </sheetViews>
  <sheetFormatPr defaultRowHeight="14.5" x14ac:dyDescent="0.35"/>
  <cols>
    <col min="1" max="1" width="107" customWidth="1"/>
    <col min="14" max="14" width="11.6328125" customWidth="1"/>
  </cols>
  <sheetData>
    <row r="1" spans="1:14" ht="17" x14ac:dyDescent="0.35">
      <c r="A1" s="38" t="s">
        <v>112</v>
      </c>
    </row>
    <row r="2" spans="1:14" ht="17" x14ac:dyDescent="0.35">
      <c r="A2" s="39"/>
    </row>
    <row r="3" spans="1:14" ht="56" x14ac:dyDescent="0.35">
      <c r="A3" s="40" t="s">
        <v>113</v>
      </c>
      <c r="N3" s="43"/>
    </row>
    <row r="4" spans="1:14" x14ac:dyDescent="0.35">
      <c r="A4" s="40"/>
      <c r="N4" s="43"/>
    </row>
    <row r="5" spans="1:14" ht="70" x14ac:dyDescent="0.35">
      <c r="A5" s="40" t="s">
        <v>114</v>
      </c>
      <c r="N5" s="43"/>
    </row>
    <row r="6" spans="1:14" x14ac:dyDescent="0.35">
      <c r="A6" s="40"/>
    </row>
    <row r="7" spans="1:14" ht="28.5" thickBot="1" x14ac:dyDescent="0.4">
      <c r="A7" s="41" t="s">
        <v>115</v>
      </c>
      <c r="N7">
        <f>IF(REN_Load_2015+REN_Load_2014&gt;0,AVERAGE(REN_Load_2015,REN_Load_2014),0)</f>
        <v>610897</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36"/>
  <sheetViews>
    <sheetView workbookViewId="0">
      <selection activeCell="O16" sqref="O16"/>
    </sheetView>
  </sheetViews>
  <sheetFormatPr defaultColWidth="9.08984375" defaultRowHeight="12.5" x14ac:dyDescent="0.25"/>
  <cols>
    <col min="1" max="1" width="2.6328125" style="1" customWidth="1"/>
    <col min="2" max="2" width="30.08984375" style="1" customWidth="1"/>
    <col min="3" max="4" width="10.36328125" style="1" customWidth="1"/>
    <col min="5" max="13" width="10.6328125" style="1" customWidth="1"/>
    <col min="14" max="14" width="11.36328125" style="1" bestFit="1" customWidth="1"/>
    <col min="15" max="15" width="10.6328125" style="1" customWidth="1"/>
    <col min="16" max="16" width="10.54296875" style="1" customWidth="1"/>
    <col min="17" max="17" width="10.6328125" style="1" customWidth="1"/>
    <col min="18" max="16384" width="9.08984375" style="1"/>
  </cols>
  <sheetData>
    <row r="1" spans="2:34" s="7" customFormat="1" ht="18" x14ac:dyDescent="0.5">
      <c r="B1" s="26" t="s">
        <v>259</v>
      </c>
      <c r="C1" s="26"/>
      <c r="D1" s="26"/>
      <c r="AC1" s="24" t="s">
        <v>27</v>
      </c>
      <c r="AH1" s="21"/>
    </row>
    <row r="2" spans="2:34" ht="14" x14ac:dyDescent="0.3">
      <c r="B2" s="48"/>
      <c r="C2" s="48"/>
      <c r="D2" s="48"/>
      <c r="I2" s="282" t="s">
        <v>26</v>
      </c>
      <c r="J2" s="283"/>
      <c r="K2" s="283"/>
      <c r="L2" s="283"/>
      <c r="M2" s="283"/>
      <c r="N2" s="284"/>
      <c r="AC2" s="25" t="s">
        <v>28</v>
      </c>
      <c r="AH2" s="19"/>
    </row>
    <row r="3" spans="2:34" ht="15" customHeight="1" x14ac:dyDescent="0.3">
      <c r="B3" s="3" t="s">
        <v>4</v>
      </c>
      <c r="C3" s="285" t="s">
        <v>198</v>
      </c>
      <c r="D3" s="285"/>
      <c r="E3" s="285"/>
      <c r="I3" s="29"/>
      <c r="J3" s="7"/>
      <c r="K3" s="7"/>
      <c r="L3" s="7"/>
      <c r="M3" s="28" t="s">
        <v>223</v>
      </c>
      <c r="N3" s="260">
        <v>647501.84299999999</v>
      </c>
      <c r="AC3" s="25" t="s">
        <v>29</v>
      </c>
      <c r="AH3" s="19"/>
    </row>
    <row r="4" spans="2:34" ht="15" customHeight="1" thickBot="1" x14ac:dyDescent="0.35">
      <c r="B4" s="4" t="s">
        <v>41</v>
      </c>
      <c r="C4" s="286">
        <v>41790</v>
      </c>
      <c r="D4" s="286"/>
      <c r="E4" s="286"/>
      <c r="I4" s="29"/>
      <c r="J4" s="7"/>
      <c r="K4" s="7"/>
      <c r="L4" s="7"/>
      <c r="M4" s="28" t="s">
        <v>224</v>
      </c>
      <c r="N4" s="260">
        <v>642859.03799999994</v>
      </c>
      <c r="AC4" s="25" t="s">
        <v>30</v>
      </c>
      <c r="AH4" s="20"/>
    </row>
    <row r="5" spans="2:34" ht="15" customHeight="1" x14ac:dyDescent="0.25">
      <c r="B5" s="5" t="s">
        <v>0</v>
      </c>
      <c r="C5" s="287" t="s">
        <v>225</v>
      </c>
      <c r="D5" s="287"/>
      <c r="E5" s="287"/>
      <c r="I5" s="29"/>
      <c r="J5" s="7"/>
      <c r="K5" s="7"/>
      <c r="L5" s="7"/>
      <c r="M5" s="28" t="s">
        <v>226</v>
      </c>
      <c r="N5" s="215">
        <f>AVERAGE(REN_Load_2012,REN_Load_2013)</f>
        <v>645180.44050000003</v>
      </c>
    </row>
    <row r="6" spans="2:34" ht="15" customHeight="1" x14ac:dyDescent="0.25">
      <c r="B6" s="5" t="s">
        <v>1</v>
      </c>
      <c r="C6" s="287" t="s">
        <v>200</v>
      </c>
      <c r="D6" s="287"/>
      <c r="E6" s="287"/>
      <c r="I6" s="29"/>
      <c r="J6" s="7"/>
      <c r="K6" s="7"/>
      <c r="L6" s="7"/>
      <c r="M6" s="28" t="s">
        <v>227</v>
      </c>
      <c r="N6" s="216">
        <v>0.03</v>
      </c>
    </row>
    <row r="7" spans="2:34" ht="15" customHeight="1" x14ac:dyDescent="0.3">
      <c r="B7" s="5" t="s">
        <v>2</v>
      </c>
      <c r="C7" s="280" t="s">
        <v>201</v>
      </c>
      <c r="D7" s="281"/>
      <c r="E7" s="281"/>
      <c r="I7" s="33"/>
      <c r="J7" s="7"/>
      <c r="K7" s="7"/>
      <c r="L7" s="7"/>
      <c r="M7" s="28" t="s">
        <v>228</v>
      </c>
      <c r="N7" s="215">
        <f>N5*N6</f>
        <v>19355.413215</v>
      </c>
    </row>
    <row r="8" spans="2:34" ht="15" customHeight="1" x14ac:dyDescent="0.25">
      <c r="B8" s="5"/>
      <c r="C8" s="5"/>
      <c r="D8" s="5"/>
      <c r="E8" s="18"/>
      <c r="I8" s="30"/>
      <c r="J8" s="31"/>
      <c r="K8" s="31"/>
      <c r="L8" s="31"/>
      <c r="M8" s="32" t="s">
        <v>229</v>
      </c>
      <c r="N8" s="217">
        <f>SUM(C20:M20)</f>
        <v>19356</v>
      </c>
    </row>
    <row r="9" spans="2:34" ht="15" customHeight="1" x14ac:dyDescent="0.3">
      <c r="B9" s="3" t="s">
        <v>230</v>
      </c>
      <c r="C9" s="42"/>
      <c r="D9" s="42"/>
    </row>
    <row r="10" spans="2:34" ht="15" customHeight="1" x14ac:dyDescent="0.3">
      <c r="C10" s="48"/>
      <c r="D10" s="48"/>
      <c r="G10" s="272" t="s">
        <v>231</v>
      </c>
      <c r="H10" s="273"/>
      <c r="I10" s="273"/>
      <c r="J10" s="273"/>
      <c r="K10" s="273"/>
      <c r="L10" s="273"/>
      <c r="M10" s="273"/>
      <c r="N10" s="274"/>
    </row>
    <row r="11" spans="2:34" s="22" customFormat="1" ht="14.25" customHeight="1" x14ac:dyDescent="0.35">
      <c r="B11" s="1"/>
      <c r="C11" s="23"/>
      <c r="D11" s="23"/>
      <c r="G11" s="29" t="s">
        <v>72</v>
      </c>
      <c r="H11" s="36"/>
      <c r="I11" s="36"/>
      <c r="J11" s="36"/>
      <c r="K11" s="36"/>
      <c r="L11" s="36"/>
      <c r="M11" s="7"/>
      <c r="N11" s="218">
        <v>116136</v>
      </c>
    </row>
    <row r="12" spans="2:34" x14ac:dyDescent="0.25">
      <c r="C12" s="48"/>
      <c r="D12" s="48"/>
      <c r="G12" s="29" t="s">
        <v>232</v>
      </c>
      <c r="H12" s="34"/>
      <c r="I12" s="34"/>
      <c r="J12" s="34"/>
      <c r="K12" s="34"/>
      <c r="L12" s="7"/>
      <c r="M12" s="7"/>
      <c r="N12" s="218">
        <v>53125000</v>
      </c>
    </row>
    <row r="13" spans="2:34" x14ac:dyDescent="0.25">
      <c r="G13" s="37" t="s">
        <v>73</v>
      </c>
      <c r="H13" s="35"/>
      <c r="I13" s="35"/>
      <c r="J13" s="35"/>
      <c r="K13" s="35"/>
      <c r="L13" s="31"/>
      <c r="M13" s="31"/>
      <c r="N13" s="219">
        <f>IF(REN_RetailRevenueRequirement_2014&gt;0,REN_Expenditure_Amount_2014/REN_RetailRevenueRequirement_2014,"")</f>
        <v>2.1860894117647057E-3</v>
      </c>
    </row>
    <row r="14" spans="2:34" ht="17.399999999999999" customHeight="1" x14ac:dyDescent="0.25">
      <c r="I14" s="275"/>
      <c r="J14" s="275"/>
      <c r="K14" s="275"/>
      <c r="L14" s="275"/>
      <c r="M14" s="275"/>
      <c r="N14" s="16"/>
      <c r="O14" s="11"/>
      <c r="P14" s="11"/>
    </row>
    <row r="15" spans="2:34" ht="17" customHeight="1" x14ac:dyDescent="0.25">
      <c r="B15" s="5"/>
      <c r="C15" s="220" t="s">
        <v>233</v>
      </c>
      <c r="D15" s="221" t="s">
        <v>234</v>
      </c>
      <c r="E15" s="221" t="s">
        <v>235</v>
      </c>
      <c r="F15" s="221" t="s">
        <v>236</v>
      </c>
      <c r="G15" s="221" t="s">
        <v>237</v>
      </c>
      <c r="H15" s="221" t="s">
        <v>238</v>
      </c>
      <c r="I15" s="221" t="s">
        <v>239</v>
      </c>
      <c r="J15" s="221" t="s">
        <v>240</v>
      </c>
      <c r="K15" s="222" t="s">
        <v>241</v>
      </c>
      <c r="L15" s="222" t="s">
        <v>242</v>
      </c>
      <c r="M15" s="222" t="s">
        <v>243</v>
      </c>
      <c r="N15" s="16"/>
      <c r="O15" s="11"/>
      <c r="P15" s="11"/>
    </row>
    <row r="16" spans="2:34" ht="21.75" customHeight="1" x14ac:dyDescent="0.3">
      <c r="B16" s="9"/>
      <c r="C16" s="14" t="s">
        <v>14</v>
      </c>
      <c r="D16" s="14" t="s">
        <v>15</v>
      </c>
      <c r="E16" s="14" t="s">
        <v>244</v>
      </c>
      <c r="F16" s="14" t="s">
        <v>245</v>
      </c>
      <c r="G16" s="14" t="s">
        <v>16</v>
      </c>
      <c r="H16" s="14" t="s">
        <v>23</v>
      </c>
      <c r="I16" s="14" t="s">
        <v>17</v>
      </c>
      <c r="J16" s="14" t="s">
        <v>246</v>
      </c>
      <c r="K16" s="14" t="s">
        <v>247</v>
      </c>
      <c r="L16" s="14" t="s">
        <v>248</v>
      </c>
      <c r="M16" s="14" t="s">
        <v>249</v>
      </c>
      <c r="N16" s="16"/>
      <c r="O16" s="11"/>
      <c r="P16" s="11"/>
    </row>
    <row r="17" spans="2:34" ht="18" customHeight="1" x14ac:dyDescent="0.25">
      <c r="B17" s="5"/>
      <c r="C17" s="12" t="s">
        <v>7</v>
      </c>
      <c r="D17" s="12" t="s">
        <v>7</v>
      </c>
      <c r="E17" s="12" t="s">
        <v>7</v>
      </c>
      <c r="F17" s="12" t="s">
        <v>7</v>
      </c>
      <c r="G17" s="12" t="s">
        <v>7</v>
      </c>
      <c r="H17" s="12" t="s">
        <v>7</v>
      </c>
      <c r="I17" s="12" t="s">
        <v>7</v>
      </c>
      <c r="J17" s="12" t="s">
        <v>7</v>
      </c>
      <c r="K17" s="12" t="s">
        <v>7</v>
      </c>
      <c r="L17" s="12" t="s">
        <v>32</v>
      </c>
      <c r="M17" s="12" t="s">
        <v>32</v>
      </c>
      <c r="N17" s="16"/>
      <c r="O17" s="11"/>
      <c r="P17" s="11"/>
    </row>
    <row r="18" spans="2:34" ht="15" customHeight="1" x14ac:dyDescent="0.25">
      <c r="B18" s="4" t="s">
        <v>25</v>
      </c>
      <c r="C18" s="223">
        <f t="shared" ref="C18:L18" si="0">SUM(E44:E64)</f>
        <v>0</v>
      </c>
      <c r="D18" s="223">
        <f>SUM(F44:F64)</f>
        <v>0</v>
      </c>
      <c r="E18" s="223">
        <f t="shared" si="0"/>
        <v>0</v>
      </c>
      <c r="F18" s="223">
        <f t="shared" si="0"/>
        <v>0</v>
      </c>
      <c r="G18" s="223">
        <f t="shared" si="0"/>
        <v>0</v>
      </c>
      <c r="H18" s="223">
        <f t="shared" si="0"/>
        <v>0</v>
      </c>
      <c r="I18" s="223">
        <f t="shared" si="0"/>
        <v>0</v>
      </c>
      <c r="J18" s="223">
        <f t="shared" si="0"/>
        <v>0</v>
      </c>
      <c r="K18" s="223">
        <f t="shared" si="0"/>
        <v>0</v>
      </c>
      <c r="L18" s="223">
        <f t="shared" si="0"/>
        <v>0</v>
      </c>
      <c r="M18" s="224"/>
      <c r="N18" s="225"/>
      <c r="O18" s="214"/>
      <c r="P18" s="214"/>
    </row>
    <row r="19" spans="2:34" ht="16.5" customHeight="1" x14ac:dyDescent="0.25">
      <c r="B19" s="4" t="s">
        <v>250</v>
      </c>
      <c r="C19" s="224"/>
      <c r="D19" s="226">
        <f>SUM(F72:F96)</f>
        <v>0</v>
      </c>
      <c r="E19" s="226">
        <f t="shared" ref="E19:L19" si="1">SUM(G72:G96)</f>
        <v>0</v>
      </c>
      <c r="F19" s="226">
        <f t="shared" si="1"/>
        <v>0</v>
      </c>
      <c r="G19" s="226">
        <f>SUM(I72:I96)</f>
        <v>9678</v>
      </c>
      <c r="H19" s="226">
        <f t="shared" si="1"/>
        <v>0</v>
      </c>
      <c r="I19" s="226">
        <f t="shared" si="1"/>
        <v>0</v>
      </c>
      <c r="J19" s="226">
        <f t="shared" si="1"/>
        <v>0</v>
      </c>
      <c r="K19" s="226">
        <f t="shared" si="1"/>
        <v>0</v>
      </c>
      <c r="L19" s="226">
        <f t="shared" si="1"/>
        <v>0</v>
      </c>
      <c r="M19" s="226">
        <f>SUM(O72:O96)</f>
        <v>9678</v>
      </c>
      <c r="N19" s="17"/>
      <c r="O19" s="11"/>
      <c r="P19" s="11"/>
    </row>
    <row r="20" spans="2:34" ht="16.5" customHeight="1" x14ac:dyDescent="0.25">
      <c r="B20" s="5" t="s">
        <v>251</v>
      </c>
      <c r="C20" s="227">
        <f t="shared" ref="C20:L20" si="2">C18+C19</f>
        <v>0</v>
      </c>
      <c r="D20" s="227">
        <f>D18+D19</f>
        <v>0</v>
      </c>
      <c r="E20" s="227">
        <f t="shared" si="2"/>
        <v>0</v>
      </c>
      <c r="F20" s="227">
        <f t="shared" si="2"/>
        <v>0</v>
      </c>
      <c r="G20" s="227">
        <f>G18+G19</f>
        <v>9678</v>
      </c>
      <c r="H20" s="227">
        <f t="shared" si="2"/>
        <v>0</v>
      </c>
      <c r="I20" s="227">
        <f t="shared" si="2"/>
        <v>0</v>
      </c>
      <c r="J20" s="227">
        <f t="shared" si="2"/>
        <v>0</v>
      </c>
      <c r="K20" s="227">
        <f t="shared" si="2"/>
        <v>0</v>
      </c>
      <c r="L20" s="227">
        <f t="shared" si="2"/>
        <v>0</v>
      </c>
      <c r="M20" s="226">
        <f>M19</f>
        <v>9678</v>
      </c>
      <c r="N20" s="17"/>
      <c r="O20" s="11"/>
      <c r="P20" s="11"/>
    </row>
    <row r="21" spans="2:34" ht="16.5" customHeight="1" x14ac:dyDescent="0.25">
      <c r="L21" s="7"/>
      <c r="M21" s="4"/>
      <c r="N21" s="17"/>
      <c r="O21" s="11"/>
      <c r="P21" s="11"/>
    </row>
    <row r="22" spans="2:34" ht="21.75" customHeight="1" x14ac:dyDescent="0.25">
      <c r="L22" s="7"/>
      <c r="M22" s="4"/>
      <c r="N22" s="17"/>
      <c r="O22" s="11"/>
      <c r="P22" s="11"/>
    </row>
    <row r="23" spans="2:34" ht="15" customHeight="1" x14ac:dyDescent="0.25">
      <c r="B23" s="28"/>
      <c r="C23" s="28"/>
      <c r="D23" s="28"/>
      <c r="E23" s="28"/>
      <c r="F23" s="28"/>
      <c r="G23" s="28"/>
      <c r="I23" s="7"/>
      <c r="J23" s="7"/>
      <c r="K23" s="7"/>
      <c r="L23" s="7"/>
      <c r="M23" s="4"/>
      <c r="N23" s="17"/>
      <c r="O23" s="11"/>
      <c r="P23" s="11"/>
    </row>
    <row r="24" spans="2:34" ht="15" customHeight="1" x14ac:dyDescent="0.25"/>
    <row r="25" spans="2:34" s="10" customFormat="1" ht="13" x14ac:dyDescent="0.3">
      <c r="AH25" s="1"/>
    </row>
    <row r="26" spans="2:34" ht="15" customHeight="1" x14ac:dyDescent="0.3">
      <c r="AH26" s="10"/>
    </row>
    <row r="27" spans="2:34" ht="15" customHeight="1" x14ac:dyDescent="0.3">
      <c r="AH27" s="10"/>
    </row>
    <row r="28" spans="2:34" ht="15" customHeight="1" x14ac:dyDescent="0.3">
      <c r="AH28" s="10"/>
    </row>
    <row r="29" spans="2:34" ht="15" customHeight="1" x14ac:dyDescent="0.3">
      <c r="AH29" s="10"/>
    </row>
    <row r="30" spans="2:34" ht="15" customHeight="1" x14ac:dyDescent="0.3">
      <c r="AH30" s="10"/>
    </row>
    <row r="31" spans="2:34" ht="15" customHeight="1" x14ac:dyDescent="0.3">
      <c r="AH31" s="10"/>
    </row>
    <row r="32" spans="2:34" ht="15" customHeight="1" x14ac:dyDescent="0.3">
      <c r="AH32" s="10"/>
    </row>
    <row r="33" spans="2:34" ht="15" customHeight="1" x14ac:dyDescent="0.25"/>
    <row r="34" spans="2:34" ht="15" customHeight="1" x14ac:dyDescent="0.25"/>
    <row r="35" spans="2:34" ht="15" customHeight="1" x14ac:dyDescent="0.25"/>
    <row r="36" spans="2:34" ht="16.5" customHeight="1" x14ac:dyDescent="0.3">
      <c r="B36" s="6" t="s">
        <v>22</v>
      </c>
      <c r="C36" s="6"/>
      <c r="D36" s="6"/>
      <c r="E36" s="9" t="s">
        <v>4</v>
      </c>
      <c r="F36" s="266" t="str">
        <f>C3</f>
        <v>PUD No. 1 of Clallam County</v>
      </c>
      <c r="G36" s="267"/>
      <c r="H36" s="268"/>
    </row>
    <row r="37" spans="2:34" ht="15" customHeight="1" x14ac:dyDescent="0.3">
      <c r="E37" s="9" t="s">
        <v>13</v>
      </c>
      <c r="F37" s="269">
        <v>2014</v>
      </c>
      <c r="G37" s="270"/>
      <c r="H37" s="271"/>
    </row>
    <row r="38" spans="2:34" ht="15" customHeight="1" x14ac:dyDescent="0.3">
      <c r="E38" s="9"/>
      <c r="F38" s="42"/>
      <c r="G38" s="8"/>
      <c r="H38" s="8"/>
    </row>
    <row r="39" spans="2:34" s="229" customFormat="1" ht="27" customHeight="1" x14ac:dyDescent="0.35">
      <c r="B39" s="276" t="s">
        <v>252</v>
      </c>
      <c r="C39" s="277"/>
      <c r="D39" s="277"/>
      <c r="E39" s="278"/>
      <c r="F39" s="278"/>
      <c r="G39" s="278"/>
      <c r="H39" s="228"/>
      <c r="AH39" s="1"/>
    </row>
    <row r="40" spans="2:34" ht="15" customHeight="1" x14ac:dyDescent="0.25">
      <c r="E40" s="230"/>
      <c r="F40" s="230"/>
      <c r="G40" s="230"/>
      <c r="H40" s="230"/>
      <c r="I40" s="230"/>
      <c r="J40" s="230"/>
      <c r="K40" s="230"/>
      <c r="L40" s="230"/>
      <c r="M40" s="230"/>
      <c r="N40" s="230"/>
      <c r="P40" s="230"/>
      <c r="Q40" s="230"/>
      <c r="R40" s="230"/>
      <c r="S40" s="230"/>
      <c r="AH40" s="229"/>
    </row>
    <row r="41" spans="2:34" s="7" customFormat="1" ht="12.75" customHeight="1" x14ac:dyDescent="0.25">
      <c r="E41" s="220" t="s">
        <v>233</v>
      </c>
      <c r="F41" s="221" t="s">
        <v>234</v>
      </c>
      <c r="G41" s="221" t="s">
        <v>235</v>
      </c>
      <c r="H41" s="221" t="s">
        <v>236</v>
      </c>
      <c r="I41" s="221" t="s">
        <v>237</v>
      </c>
      <c r="J41" s="221" t="s">
        <v>238</v>
      </c>
      <c r="K41" s="221" t="s">
        <v>239</v>
      </c>
      <c r="L41" s="221" t="s">
        <v>240</v>
      </c>
      <c r="M41" s="222" t="s">
        <v>241</v>
      </c>
      <c r="N41" s="222" t="s">
        <v>242</v>
      </c>
      <c r="O41" s="1"/>
      <c r="AH41" s="1"/>
    </row>
    <row r="42" spans="2:34" s="10" customFormat="1" ht="43.5" customHeight="1" x14ac:dyDescent="0.3">
      <c r="E42" s="14" t="s">
        <v>253</v>
      </c>
      <c r="F42" s="14" t="s">
        <v>15</v>
      </c>
      <c r="G42" s="14" t="s">
        <v>244</v>
      </c>
      <c r="H42" s="14" t="s">
        <v>245</v>
      </c>
      <c r="I42" s="14" t="s">
        <v>16</v>
      </c>
      <c r="J42" s="14" t="s">
        <v>254</v>
      </c>
      <c r="K42" s="14" t="s">
        <v>17</v>
      </c>
      <c r="L42" s="14" t="s">
        <v>246</v>
      </c>
      <c r="M42" s="14" t="s">
        <v>247</v>
      </c>
      <c r="N42" s="14" t="s">
        <v>248</v>
      </c>
      <c r="O42" s="1"/>
      <c r="AH42" s="7"/>
    </row>
    <row r="43" spans="2:34" ht="15" customHeight="1" x14ac:dyDescent="0.3">
      <c r="B43" s="27" t="s">
        <v>19</v>
      </c>
      <c r="C43" s="279" t="s">
        <v>31</v>
      </c>
      <c r="D43" s="279"/>
      <c r="E43" s="12" t="s">
        <v>7</v>
      </c>
      <c r="F43" s="12" t="s">
        <v>7</v>
      </c>
      <c r="G43" s="12" t="s">
        <v>7</v>
      </c>
      <c r="H43" s="12" t="s">
        <v>7</v>
      </c>
      <c r="I43" s="12" t="s">
        <v>7</v>
      </c>
      <c r="J43" s="12" t="s">
        <v>7</v>
      </c>
      <c r="K43" s="12" t="s">
        <v>7</v>
      </c>
      <c r="L43" s="12" t="s">
        <v>7</v>
      </c>
      <c r="M43" s="12" t="s">
        <v>7</v>
      </c>
      <c r="N43" s="12" t="s">
        <v>32</v>
      </c>
      <c r="AH43" s="10"/>
    </row>
    <row r="44" spans="2:34" ht="15" customHeight="1" x14ac:dyDescent="0.25">
      <c r="B44" s="231"/>
      <c r="C44" s="232"/>
      <c r="D44" s="232"/>
      <c r="E44" s="233"/>
      <c r="F44" s="234"/>
      <c r="G44" s="234"/>
      <c r="H44" s="234"/>
      <c r="I44" s="234"/>
      <c r="J44" s="234"/>
      <c r="K44" s="234"/>
      <c r="L44" s="234"/>
      <c r="M44" s="234"/>
      <c r="N44" s="234"/>
    </row>
    <row r="45" spans="2:34" ht="15" customHeight="1" x14ac:dyDescent="0.25">
      <c r="B45" s="235"/>
      <c r="C45" s="236"/>
      <c r="D45" s="236"/>
      <c r="E45" s="237"/>
      <c r="F45" s="238"/>
      <c r="G45" s="238"/>
      <c r="H45" s="238"/>
      <c r="I45" s="238"/>
      <c r="J45" s="238"/>
      <c r="K45" s="238"/>
      <c r="L45" s="238"/>
      <c r="M45" s="238"/>
      <c r="N45" s="238"/>
    </row>
    <row r="46" spans="2:34" ht="15" customHeight="1" x14ac:dyDescent="0.25">
      <c r="B46" s="235"/>
      <c r="C46" s="236"/>
      <c r="D46" s="236"/>
      <c r="E46" s="237"/>
      <c r="F46" s="238"/>
      <c r="G46" s="238"/>
      <c r="H46" s="238"/>
      <c r="I46" s="238"/>
      <c r="J46" s="238"/>
      <c r="K46" s="238"/>
      <c r="L46" s="238"/>
      <c r="M46" s="238"/>
      <c r="N46" s="238"/>
    </row>
    <row r="47" spans="2:34" ht="15" customHeight="1" x14ac:dyDescent="0.25">
      <c r="B47" s="239"/>
      <c r="C47" s="240"/>
      <c r="D47" s="240"/>
      <c r="E47" s="237"/>
      <c r="F47" s="238"/>
      <c r="G47" s="238"/>
      <c r="H47" s="238"/>
      <c r="I47" s="238"/>
      <c r="J47" s="238"/>
      <c r="K47" s="238"/>
      <c r="L47" s="238"/>
      <c r="M47" s="238"/>
      <c r="N47" s="238"/>
    </row>
    <row r="48" spans="2:34" ht="15" customHeight="1" x14ac:dyDescent="0.3">
      <c r="B48" s="241"/>
      <c r="C48" s="242"/>
      <c r="D48" s="242"/>
      <c r="E48" s="237"/>
      <c r="F48" s="238"/>
      <c r="G48" s="238"/>
      <c r="H48" s="238"/>
      <c r="I48" s="238"/>
      <c r="J48" s="238"/>
      <c r="K48" s="238"/>
      <c r="L48" s="238"/>
      <c r="M48" s="238"/>
      <c r="N48" s="238"/>
    </row>
    <row r="49" spans="2:14" ht="15" customHeight="1" x14ac:dyDescent="0.3">
      <c r="B49" s="243"/>
      <c r="C49" s="244"/>
      <c r="D49" s="244"/>
      <c r="E49" s="237"/>
      <c r="F49" s="238"/>
      <c r="G49" s="238"/>
      <c r="H49" s="238"/>
      <c r="I49" s="238"/>
      <c r="J49" s="238"/>
      <c r="K49" s="238"/>
      <c r="L49" s="238"/>
      <c r="M49" s="238"/>
      <c r="N49" s="238"/>
    </row>
    <row r="50" spans="2:14" ht="15" customHeight="1" x14ac:dyDescent="0.3">
      <c r="B50" s="243"/>
      <c r="C50" s="244"/>
      <c r="D50" s="244"/>
      <c r="E50" s="237"/>
      <c r="F50" s="238"/>
      <c r="G50" s="238"/>
      <c r="H50" s="238"/>
      <c r="I50" s="238"/>
      <c r="J50" s="238"/>
      <c r="K50" s="238"/>
      <c r="L50" s="238"/>
      <c r="M50" s="238"/>
      <c r="N50" s="238"/>
    </row>
    <row r="51" spans="2:14" ht="15" customHeight="1" x14ac:dyDescent="0.3">
      <c r="B51" s="243"/>
      <c r="C51" s="244"/>
      <c r="D51" s="244"/>
      <c r="E51" s="237"/>
      <c r="F51" s="238"/>
      <c r="G51" s="238"/>
      <c r="H51" s="238"/>
      <c r="I51" s="238"/>
      <c r="J51" s="238"/>
      <c r="K51" s="238"/>
      <c r="L51" s="238"/>
      <c r="M51" s="238"/>
      <c r="N51" s="238"/>
    </row>
    <row r="52" spans="2:14" ht="15" customHeight="1" x14ac:dyDescent="0.3">
      <c r="B52" s="243"/>
      <c r="C52" s="244"/>
      <c r="D52" s="244"/>
      <c r="E52" s="237"/>
      <c r="F52" s="238"/>
      <c r="G52" s="238"/>
      <c r="H52" s="238"/>
      <c r="I52" s="238"/>
      <c r="J52" s="238"/>
      <c r="K52" s="238"/>
      <c r="L52" s="238"/>
      <c r="M52" s="238"/>
      <c r="N52" s="238"/>
    </row>
    <row r="53" spans="2:14" ht="15" customHeight="1" x14ac:dyDescent="0.3">
      <c r="B53" s="243"/>
      <c r="C53" s="244"/>
      <c r="D53" s="244"/>
      <c r="E53" s="237"/>
      <c r="F53" s="238"/>
      <c r="G53" s="238"/>
      <c r="H53" s="238"/>
      <c r="I53" s="238"/>
      <c r="J53" s="238"/>
      <c r="K53" s="238"/>
      <c r="L53" s="238"/>
      <c r="M53" s="238"/>
      <c r="N53" s="238"/>
    </row>
    <row r="54" spans="2:14" ht="15" customHeight="1" x14ac:dyDescent="0.3">
      <c r="B54" s="243"/>
      <c r="C54" s="244"/>
      <c r="D54" s="244"/>
      <c r="E54" s="237"/>
      <c r="F54" s="238"/>
      <c r="G54" s="238"/>
      <c r="H54" s="238"/>
      <c r="I54" s="238"/>
      <c r="J54" s="238"/>
      <c r="K54" s="238"/>
      <c r="L54" s="238"/>
      <c r="M54" s="238"/>
      <c r="N54" s="238"/>
    </row>
    <row r="55" spans="2:14" ht="15" customHeight="1" x14ac:dyDescent="0.3">
      <c r="B55" s="243"/>
      <c r="C55" s="244"/>
      <c r="D55" s="244"/>
      <c r="E55" s="237"/>
      <c r="F55" s="238"/>
      <c r="G55" s="238"/>
      <c r="H55" s="238"/>
      <c r="I55" s="238"/>
      <c r="J55" s="238"/>
      <c r="K55" s="238"/>
      <c r="L55" s="238"/>
      <c r="M55" s="238"/>
      <c r="N55" s="238"/>
    </row>
    <row r="56" spans="2:14" ht="15" customHeight="1" x14ac:dyDescent="0.3">
      <c r="B56" s="243"/>
      <c r="C56" s="244"/>
      <c r="D56" s="244"/>
      <c r="E56" s="237"/>
      <c r="F56" s="238"/>
      <c r="G56" s="238"/>
      <c r="H56" s="238"/>
      <c r="I56" s="238"/>
      <c r="J56" s="238"/>
      <c r="K56" s="238"/>
      <c r="L56" s="238"/>
      <c r="M56" s="238"/>
      <c r="N56" s="238"/>
    </row>
    <row r="57" spans="2:14" ht="15" customHeight="1" x14ac:dyDescent="0.3">
      <c r="B57" s="243"/>
      <c r="C57" s="244"/>
      <c r="D57" s="244"/>
      <c r="E57" s="237"/>
      <c r="F57" s="238"/>
      <c r="G57" s="238"/>
      <c r="H57" s="238"/>
      <c r="I57" s="238"/>
      <c r="J57" s="238"/>
      <c r="K57" s="238"/>
      <c r="L57" s="238"/>
      <c r="M57" s="238"/>
      <c r="N57" s="238"/>
    </row>
    <row r="58" spans="2:14" ht="15" customHeight="1" x14ac:dyDescent="0.3">
      <c r="B58" s="243"/>
      <c r="C58" s="244"/>
      <c r="D58" s="244"/>
      <c r="E58" s="237"/>
      <c r="F58" s="238"/>
      <c r="G58" s="238"/>
      <c r="H58" s="238"/>
      <c r="I58" s="238"/>
      <c r="J58" s="238"/>
      <c r="K58" s="238"/>
      <c r="L58" s="238"/>
      <c r="M58" s="238"/>
      <c r="N58" s="238"/>
    </row>
    <row r="59" spans="2:14" ht="15" customHeight="1" x14ac:dyDescent="0.3">
      <c r="B59" s="243"/>
      <c r="C59" s="244"/>
      <c r="D59" s="244"/>
      <c r="E59" s="237"/>
      <c r="F59" s="238"/>
      <c r="G59" s="238"/>
      <c r="H59" s="238"/>
      <c r="I59" s="238"/>
      <c r="J59" s="238"/>
      <c r="K59" s="238"/>
      <c r="L59" s="238"/>
      <c r="M59" s="238"/>
      <c r="N59" s="238"/>
    </row>
    <row r="60" spans="2:14" ht="15" customHeight="1" x14ac:dyDescent="0.3">
      <c r="B60" s="243"/>
      <c r="C60" s="244"/>
      <c r="D60" s="244"/>
      <c r="E60" s="237"/>
      <c r="F60" s="238"/>
      <c r="G60" s="238"/>
      <c r="H60" s="238"/>
      <c r="I60" s="238"/>
      <c r="J60" s="238"/>
      <c r="K60" s="238"/>
      <c r="L60" s="238"/>
      <c r="M60" s="238"/>
      <c r="N60" s="238"/>
    </row>
    <row r="61" spans="2:14" ht="15" customHeight="1" x14ac:dyDescent="0.3">
      <c r="B61" s="243"/>
      <c r="C61" s="244"/>
      <c r="D61" s="244"/>
      <c r="E61" s="237"/>
      <c r="F61" s="238"/>
      <c r="G61" s="238"/>
      <c r="H61" s="238"/>
      <c r="I61" s="238"/>
      <c r="J61" s="238"/>
      <c r="K61" s="238"/>
      <c r="L61" s="238"/>
      <c r="M61" s="238"/>
      <c r="N61" s="238"/>
    </row>
    <row r="62" spans="2:14" ht="15" customHeight="1" x14ac:dyDescent="0.3">
      <c r="B62" s="243"/>
      <c r="C62" s="244"/>
      <c r="D62" s="244"/>
      <c r="E62" s="237"/>
      <c r="F62" s="238"/>
      <c r="G62" s="238"/>
      <c r="H62" s="238"/>
      <c r="I62" s="238"/>
      <c r="J62" s="238"/>
      <c r="K62" s="238"/>
      <c r="L62" s="238"/>
      <c r="M62" s="238"/>
      <c r="N62" s="238"/>
    </row>
    <row r="63" spans="2:14" ht="15" customHeight="1" x14ac:dyDescent="0.3">
      <c r="B63" s="243"/>
      <c r="C63" s="244"/>
      <c r="D63" s="244"/>
      <c r="E63" s="237"/>
      <c r="F63" s="238"/>
      <c r="G63" s="238"/>
      <c r="H63" s="238"/>
      <c r="I63" s="238"/>
      <c r="J63" s="238"/>
      <c r="K63" s="238"/>
      <c r="L63" s="238"/>
      <c r="M63" s="238"/>
      <c r="N63" s="238"/>
    </row>
    <row r="64" spans="2:14" ht="15" customHeight="1" x14ac:dyDescent="0.3">
      <c r="B64" s="245"/>
      <c r="C64" s="246"/>
      <c r="D64" s="246"/>
      <c r="E64" s="247"/>
      <c r="F64" s="248"/>
      <c r="G64" s="248"/>
      <c r="H64" s="248"/>
      <c r="I64" s="248"/>
      <c r="J64" s="248"/>
      <c r="K64" s="248"/>
      <c r="L64" s="248"/>
      <c r="M64" s="248"/>
      <c r="N64" s="248"/>
    </row>
    <row r="65" spans="1:34" ht="15" customHeight="1" x14ac:dyDescent="0.25">
      <c r="E65" s="7"/>
      <c r="F65" s="7"/>
      <c r="G65" s="7"/>
      <c r="H65" s="7"/>
      <c r="I65" s="7"/>
      <c r="J65" s="7"/>
      <c r="K65" s="7"/>
      <c r="L65" s="7"/>
      <c r="M65" s="7"/>
      <c r="N65" s="7"/>
    </row>
    <row r="66" spans="1:34" ht="17.25" customHeight="1" x14ac:dyDescent="0.3">
      <c r="B66" s="6" t="s">
        <v>18</v>
      </c>
      <c r="C66" s="6"/>
      <c r="D66" s="6"/>
      <c r="E66" s="9" t="s">
        <v>4</v>
      </c>
      <c r="F66" s="266" t="str">
        <f>C3</f>
        <v>PUD No. 1 of Clallam County</v>
      </c>
      <c r="G66" s="267"/>
      <c r="H66" s="268"/>
    </row>
    <row r="67" spans="1:34" ht="15" customHeight="1" x14ac:dyDescent="0.3">
      <c r="E67" s="9" t="s">
        <v>13</v>
      </c>
      <c r="F67" s="269">
        <v>2014</v>
      </c>
      <c r="G67" s="270"/>
      <c r="H67" s="271"/>
    </row>
    <row r="68" spans="1:34" ht="15" customHeight="1" x14ac:dyDescent="0.3">
      <c r="B68" s="9"/>
      <c r="C68" s="9"/>
      <c r="D68" s="9"/>
      <c r="E68" s="249"/>
      <c r="H68" s="13"/>
      <c r="I68" s="7"/>
    </row>
    <row r="69" spans="1:34" s="7" customFormat="1" ht="16.5" customHeight="1" x14ac:dyDescent="0.3">
      <c r="B69" s="6"/>
      <c r="C69" s="6"/>
      <c r="D69" s="6"/>
      <c r="E69" s="220" t="s">
        <v>233</v>
      </c>
      <c r="F69" s="221" t="s">
        <v>234</v>
      </c>
      <c r="G69" s="221" t="s">
        <v>235</v>
      </c>
      <c r="H69" s="221" t="s">
        <v>236</v>
      </c>
      <c r="I69" s="221" t="s">
        <v>237</v>
      </c>
      <c r="J69" s="221" t="s">
        <v>238</v>
      </c>
      <c r="K69" s="221" t="s">
        <v>239</v>
      </c>
      <c r="L69" s="221" t="s">
        <v>240</v>
      </c>
      <c r="M69" s="222" t="s">
        <v>241</v>
      </c>
      <c r="N69" s="222" t="s">
        <v>242</v>
      </c>
      <c r="O69" s="222" t="s">
        <v>243</v>
      </c>
      <c r="AH69" s="1"/>
    </row>
    <row r="70" spans="1:34" s="10" customFormat="1" ht="34.5" x14ac:dyDescent="0.3">
      <c r="B70" s="9"/>
      <c r="C70" s="9"/>
      <c r="D70" s="9"/>
      <c r="E70" s="14" t="s">
        <v>253</v>
      </c>
      <c r="F70" s="14" t="s">
        <v>15</v>
      </c>
      <c r="G70" s="14" t="s">
        <v>244</v>
      </c>
      <c r="H70" s="14" t="s">
        <v>245</v>
      </c>
      <c r="I70" s="14" t="s">
        <v>16</v>
      </c>
      <c r="J70" s="14" t="s">
        <v>23</v>
      </c>
      <c r="K70" s="14" t="s">
        <v>17</v>
      </c>
      <c r="L70" s="14" t="s">
        <v>246</v>
      </c>
      <c r="M70" s="14" t="s">
        <v>247</v>
      </c>
      <c r="N70" s="14" t="s">
        <v>248</v>
      </c>
      <c r="O70" s="14" t="s">
        <v>249</v>
      </c>
      <c r="AH70" s="7"/>
    </row>
    <row r="71" spans="1:34" ht="15" customHeight="1" x14ac:dyDescent="0.3">
      <c r="B71" s="27" t="s">
        <v>19</v>
      </c>
      <c r="C71" s="250" t="s">
        <v>31</v>
      </c>
      <c r="D71" s="250" t="s">
        <v>255</v>
      </c>
      <c r="E71" s="12" t="s">
        <v>7</v>
      </c>
      <c r="F71" s="12" t="s">
        <v>7</v>
      </c>
      <c r="G71" s="12" t="s">
        <v>7</v>
      </c>
      <c r="H71" s="12" t="s">
        <v>7</v>
      </c>
      <c r="I71" s="12" t="s">
        <v>7</v>
      </c>
      <c r="J71" s="12" t="s">
        <v>7</v>
      </c>
      <c r="K71" s="12" t="s">
        <v>7</v>
      </c>
      <c r="L71" s="12" t="s">
        <v>7</v>
      </c>
      <c r="M71" s="12" t="s">
        <v>7</v>
      </c>
      <c r="N71" s="12" t="s">
        <v>32</v>
      </c>
      <c r="O71" s="12" t="s">
        <v>32</v>
      </c>
      <c r="AH71" s="10"/>
    </row>
    <row r="72" spans="1:34" ht="15" customHeight="1" x14ac:dyDescent="0.25">
      <c r="A72" s="7"/>
      <c r="B72" s="251" t="s">
        <v>256</v>
      </c>
      <c r="C72" s="251" t="s">
        <v>257</v>
      </c>
      <c r="D72" s="251">
        <v>2013</v>
      </c>
      <c r="E72" s="252"/>
      <c r="F72" s="234"/>
      <c r="G72" s="234"/>
      <c r="H72" s="234"/>
      <c r="I72" s="234">
        <v>9678</v>
      </c>
      <c r="J72" s="234"/>
      <c r="K72" s="234"/>
      <c r="L72" s="234"/>
      <c r="M72" s="234"/>
      <c r="N72" s="234"/>
      <c r="O72" s="253">
        <v>9678</v>
      </c>
    </row>
    <row r="73" spans="1:34" ht="15" customHeight="1" x14ac:dyDescent="0.25">
      <c r="A73" s="7"/>
      <c r="B73" s="251"/>
      <c r="C73" s="251"/>
      <c r="D73" s="251"/>
      <c r="E73" s="254"/>
      <c r="F73" s="238"/>
      <c r="G73" s="238"/>
      <c r="H73" s="238"/>
      <c r="I73" s="238"/>
      <c r="J73" s="238"/>
      <c r="K73" s="238"/>
      <c r="L73" s="238"/>
      <c r="M73" s="238"/>
      <c r="N73" s="238"/>
      <c r="O73" s="255"/>
    </row>
    <row r="74" spans="1:34" ht="15" customHeight="1" x14ac:dyDescent="0.25">
      <c r="A74" s="7"/>
      <c r="B74" s="251"/>
      <c r="C74" s="251"/>
      <c r="D74" s="251"/>
      <c r="E74" s="254"/>
      <c r="F74" s="238"/>
      <c r="G74" s="238"/>
      <c r="H74" s="238"/>
      <c r="I74" s="238"/>
      <c r="J74" s="238"/>
      <c r="K74" s="238"/>
      <c r="L74" s="238"/>
      <c r="M74" s="238"/>
      <c r="N74" s="238"/>
      <c r="O74" s="255"/>
    </row>
    <row r="75" spans="1:34" ht="15" customHeight="1" x14ac:dyDescent="0.25">
      <c r="A75" s="7"/>
      <c r="B75" s="251"/>
      <c r="C75" s="251"/>
      <c r="D75" s="251"/>
      <c r="E75" s="254"/>
      <c r="F75" s="238"/>
      <c r="G75" s="238"/>
      <c r="H75" s="238"/>
      <c r="I75" s="238"/>
      <c r="J75" s="238"/>
      <c r="K75" s="238"/>
      <c r="L75" s="238"/>
      <c r="M75" s="238"/>
      <c r="N75" s="238"/>
      <c r="O75" s="255"/>
    </row>
    <row r="76" spans="1:34" ht="15" customHeight="1" x14ac:dyDescent="0.25">
      <c r="A76" s="7"/>
      <c r="B76" s="251"/>
      <c r="C76" s="251"/>
      <c r="D76" s="251"/>
      <c r="E76" s="256"/>
      <c r="F76" s="238"/>
      <c r="G76" s="238"/>
      <c r="H76" s="238"/>
      <c r="I76" s="238"/>
      <c r="J76" s="238"/>
      <c r="K76" s="238"/>
      <c r="L76" s="238"/>
      <c r="M76" s="238"/>
      <c r="N76" s="238"/>
      <c r="O76" s="255"/>
    </row>
    <row r="77" spans="1:34" ht="15" customHeight="1" x14ac:dyDescent="0.25">
      <c r="A77" s="7"/>
      <c r="B77" s="251"/>
      <c r="C77" s="251"/>
      <c r="D77" s="251"/>
      <c r="E77" s="256"/>
      <c r="F77" s="238"/>
      <c r="G77" s="238"/>
      <c r="H77" s="238"/>
      <c r="I77" s="238"/>
      <c r="J77" s="238"/>
      <c r="K77" s="238"/>
      <c r="L77" s="238"/>
      <c r="M77" s="238"/>
      <c r="N77" s="238"/>
      <c r="O77" s="255"/>
    </row>
    <row r="78" spans="1:34" ht="15" customHeight="1" x14ac:dyDescent="0.25">
      <c r="A78" s="7"/>
      <c r="B78" s="251"/>
      <c r="C78" s="251"/>
      <c r="D78" s="251"/>
      <c r="E78" s="256"/>
      <c r="F78" s="238"/>
      <c r="G78" s="238"/>
      <c r="H78" s="238"/>
      <c r="I78" s="238"/>
      <c r="J78" s="238"/>
      <c r="K78" s="238"/>
      <c r="L78" s="238"/>
      <c r="M78" s="238"/>
      <c r="N78" s="238"/>
      <c r="O78" s="255"/>
    </row>
    <row r="79" spans="1:34" ht="15" customHeight="1" x14ac:dyDescent="0.3">
      <c r="B79" s="257"/>
      <c r="C79" s="257"/>
      <c r="D79" s="257"/>
      <c r="E79" s="256"/>
      <c r="F79" s="238"/>
      <c r="G79" s="238"/>
      <c r="H79" s="238"/>
      <c r="I79" s="238"/>
      <c r="J79" s="238"/>
      <c r="K79" s="238"/>
      <c r="L79" s="238"/>
      <c r="M79" s="238"/>
      <c r="N79" s="238"/>
      <c r="O79" s="255"/>
    </row>
    <row r="80" spans="1:34" ht="15" customHeight="1" x14ac:dyDescent="0.3">
      <c r="B80" s="243"/>
      <c r="C80" s="243"/>
      <c r="D80" s="243"/>
      <c r="E80" s="256"/>
      <c r="F80" s="238"/>
      <c r="G80" s="238"/>
      <c r="H80" s="238"/>
      <c r="I80" s="238"/>
      <c r="J80" s="238"/>
      <c r="K80" s="238"/>
      <c r="L80" s="238"/>
      <c r="M80" s="238"/>
      <c r="N80" s="238"/>
      <c r="O80" s="255"/>
    </row>
    <row r="81" spans="2:15" ht="15" customHeight="1" x14ac:dyDescent="0.3">
      <c r="B81" s="243"/>
      <c r="C81" s="243"/>
      <c r="D81" s="243"/>
      <c r="E81" s="256"/>
      <c r="F81" s="238"/>
      <c r="G81" s="238"/>
      <c r="H81" s="238"/>
      <c r="I81" s="238"/>
      <c r="J81" s="238"/>
      <c r="K81" s="238"/>
      <c r="L81" s="238"/>
      <c r="M81" s="238"/>
      <c r="N81" s="238"/>
      <c r="O81" s="255"/>
    </row>
    <row r="82" spans="2:15" ht="15" customHeight="1" x14ac:dyDescent="0.3">
      <c r="B82" s="243"/>
      <c r="C82" s="243"/>
      <c r="D82" s="243"/>
      <c r="E82" s="256"/>
      <c r="F82" s="238"/>
      <c r="G82" s="238"/>
      <c r="H82" s="238"/>
      <c r="I82" s="238"/>
      <c r="J82" s="238"/>
      <c r="K82" s="238"/>
      <c r="L82" s="238"/>
      <c r="M82" s="238"/>
      <c r="N82" s="238"/>
      <c r="O82" s="255"/>
    </row>
    <row r="83" spans="2:15" ht="15" customHeight="1" x14ac:dyDescent="0.3">
      <c r="B83" s="243"/>
      <c r="C83" s="243"/>
      <c r="D83" s="243"/>
      <c r="E83" s="256"/>
      <c r="F83" s="238"/>
      <c r="G83" s="238"/>
      <c r="H83" s="238"/>
      <c r="I83" s="238"/>
      <c r="J83" s="238"/>
      <c r="K83" s="238"/>
      <c r="L83" s="238"/>
      <c r="M83" s="238"/>
      <c r="N83" s="238"/>
      <c r="O83" s="255"/>
    </row>
    <row r="84" spans="2:15" ht="15" customHeight="1" x14ac:dyDescent="0.3">
      <c r="B84" s="243"/>
      <c r="C84" s="243"/>
      <c r="D84" s="243"/>
      <c r="E84" s="256"/>
      <c r="F84" s="238"/>
      <c r="G84" s="238"/>
      <c r="H84" s="238"/>
      <c r="I84" s="238"/>
      <c r="J84" s="238"/>
      <c r="K84" s="238"/>
      <c r="L84" s="238"/>
      <c r="M84" s="238"/>
      <c r="N84" s="238"/>
      <c r="O84" s="255"/>
    </row>
    <row r="85" spans="2:15" ht="15" customHeight="1" x14ac:dyDescent="0.3">
      <c r="B85" s="243"/>
      <c r="C85" s="243"/>
      <c r="D85" s="243"/>
      <c r="E85" s="256"/>
      <c r="F85" s="238"/>
      <c r="G85" s="238"/>
      <c r="H85" s="238"/>
      <c r="I85" s="238"/>
      <c r="J85" s="238"/>
      <c r="K85" s="238"/>
      <c r="L85" s="238"/>
      <c r="M85" s="238"/>
      <c r="N85" s="238"/>
      <c r="O85" s="255"/>
    </row>
    <row r="86" spans="2:15" ht="15" customHeight="1" x14ac:dyDescent="0.3">
      <c r="B86" s="243"/>
      <c r="C86" s="243"/>
      <c r="D86" s="243"/>
      <c r="E86" s="256"/>
      <c r="F86" s="238"/>
      <c r="G86" s="238"/>
      <c r="H86" s="238"/>
      <c r="I86" s="238"/>
      <c r="J86" s="238"/>
      <c r="K86" s="238"/>
      <c r="L86" s="238"/>
      <c r="M86" s="238"/>
      <c r="N86" s="238"/>
      <c r="O86" s="255"/>
    </row>
    <row r="87" spans="2:15" ht="15" customHeight="1" x14ac:dyDescent="0.3">
      <c r="B87" s="243"/>
      <c r="C87" s="243"/>
      <c r="D87" s="243"/>
      <c r="E87" s="256"/>
      <c r="F87" s="238"/>
      <c r="G87" s="238"/>
      <c r="H87" s="238"/>
      <c r="I87" s="238"/>
      <c r="J87" s="238"/>
      <c r="K87" s="238"/>
      <c r="L87" s="238"/>
      <c r="M87" s="238"/>
      <c r="N87" s="238"/>
      <c r="O87" s="255"/>
    </row>
    <row r="88" spans="2:15" ht="15" customHeight="1" x14ac:dyDescent="0.3">
      <c r="B88" s="243"/>
      <c r="C88" s="243"/>
      <c r="D88" s="243"/>
      <c r="E88" s="256"/>
      <c r="F88" s="238"/>
      <c r="G88" s="238"/>
      <c r="H88" s="238"/>
      <c r="I88" s="238"/>
      <c r="J88" s="238"/>
      <c r="K88" s="238"/>
      <c r="L88" s="238"/>
      <c r="M88" s="238"/>
      <c r="N88" s="238"/>
      <c r="O88" s="255"/>
    </row>
    <row r="89" spans="2:15" ht="15" customHeight="1" x14ac:dyDescent="0.3">
      <c r="B89" s="243"/>
      <c r="C89" s="243"/>
      <c r="D89" s="243"/>
      <c r="E89" s="256"/>
      <c r="F89" s="238"/>
      <c r="G89" s="238"/>
      <c r="H89" s="238"/>
      <c r="I89" s="238"/>
      <c r="J89" s="238"/>
      <c r="K89" s="238"/>
      <c r="L89" s="238"/>
      <c r="M89" s="238"/>
      <c r="N89" s="238"/>
      <c r="O89" s="255"/>
    </row>
    <row r="90" spans="2:15" ht="15" customHeight="1" x14ac:dyDescent="0.3">
      <c r="B90" s="243"/>
      <c r="C90" s="243"/>
      <c r="D90" s="243"/>
      <c r="E90" s="256"/>
      <c r="F90" s="238"/>
      <c r="G90" s="238"/>
      <c r="H90" s="238"/>
      <c r="I90" s="238"/>
      <c r="J90" s="238"/>
      <c r="K90" s="238"/>
      <c r="L90" s="238"/>
      <c r="M90" s="238"/>
      <c r="N90" s="238"/>
      <c r="O90" s="255"/>
    </row>
    <row r="91" spans="2:15" ht="15" customHeight="1" x14ac:dyDescent="0.3">
      <c r="B91" s="243"/>
      <c r="C91" s="243"/>
      <c r="D91" s="243"/>
      <c r="E91" s="256"/>
      <c r="F91" s="238"/>
      <c r="G91" s="238"/>
      <c r="H91" s="238"/>
      <c r="I91" s="238"/>
      <c r="J91" s="238"/>
      <c r="K91" s="238"/>
      <c r="L91" s="238"/>
      <c r="M91" s="238"/>
      <c r="N91" s="238"/>
      <c r="O91" s="255"/>
    </row>
    <row r="92" spans="2:15" ht="15" customHeight="1" x14ac:dyDescent="0.3">
      <c r="B92" s="243"/>
      <c r="C92" s="243"/>
      <c r="D92" s="243"/>
      <c r="E92" s="256"/>
      <c r="F92" s="238"/>
      <c r="G92" s="238"/>
      <c r="H92" s="238"/>
      <c r="I92" s="238"/>
      <c r="J92" s="238"/>
      <c r="K92" s="238"/>
      <c r="L92" s="238"/>
      <c r="M92" s="238"/>
      <c r="N92" s="238"/>
      <c r="O92" s="255"/>
    </row>
    <row r="93" spans="2:15" ht="15" customHeight="1" x14ac:dyDescent="0.3">
      <c r="B93" s="243"/>
      <c r="C93" s="243"/>
      <c r="D93" s="243"/>
      <c r="E93" s="256"/>
      <c r="F93" s="238"/>
      <c r="G93" s="238"/>
      <c r="H93" s="238"/>
      <c r="I93" s="238"/>
      <c r="J93" s="238"/>
      <c r="K93" s="238"/>
      <c r="L93" s="238"/>
      <c r="M93" s="238"/>
      <c r="N93" s="238"/>
      <c r="O93" s="255"/>
    </row>
    <row r="94" spans="2:15" ht="15" customHeight="1" x14ac:dyDescent="0.3">
      <c r="B94" s="243"/>
      <c r="C94" s="243"/>
      <c r="D94" s="243"/>
      <c r="E94" s="256"/>
      <c r="F94" s="238"/>
      <c r="G94" s="238"/>
      <c r="H94" s="238"/>
      <c r="I94" s="238"/>
      <c r="J94" s="238"/>
      <c r="K94" s="238"/>
      <c r="L94" s="238"/>
      <c r="M94" s="238"/>
      <c r="N94" s="238"/>
      <c r="O94" s="255"/>
    </row>
    <row r="95" spans="2:15" ht="15" customHeight="1" x14ac:dyDescent="0.3">
      <c r="B95" s="243"/>
      <c r="C95" s="243"/>
      <c r="D95" s="243"/>
      <c r="E95" s="256"/>
      <c r="F95" s="238"/>
      <c r="G95" s="238"/>
      <c r="H95" s="238"/>
      <c r="I95" s="238"/>
      <c r="J95" s="238"/>
      <c r="K95" s="238"/>
      <c r="L95" s="238"/>
      <c r="M95" s="238"/>
      <c r="N95" s="238"/>
      <c r="O95" s="255"/>
    </row>
    <row r="96" spans="2:15" ht="15" customHeight="1" x14ac:dyDescent="0.3">
      <c r="B96" s="245"/>
      <c r="C96" s="245"/>
      <c r="D96" s="245"/>
      <c r="E96" s="258"/>
      <c r="F96" s="248"/>
      <c r="G96" s="248"/>
      <c r="H96" s="248"/>
      <c r="I96" s="248"/>
      <c r="J96" s="248"/>
      <c r="K96" s="248"/>
      <c r="L96" s="248"/>
      <c r="M96" s="248"/>
      <c r="N96" s="248"/>
      <c r="O96" s="259"/>
    </row>
    <row r="97" spans="2:34" ht="15" customHeight="1" x14ac:dyDescent="0.25"/>
    <row r="98" spans="2:34" ht="15" customHeight="1" x14ac:dyDescent="0.3">
      <c r="B98" s="10"/>
      <c r="C98" s="10"/>
      <c r="D98" s="10"/>
      <c r="E98" s="9" t="s">
        <v>4</v>
      </c>
      <c r="F98" s="266" t="str">
        <f>C3</f>
        <v>PUD No. 1 of Clallam County</v>
      </c>
      <c r="G98" s="267"/>
      <c r="H98" s="268"/>
    </row>
    <row r="99" spans="2:34" ht="15" customHeight="1" x14ac:dyDescent="0.3">
      <c r="E99" s="9" t="s">
        <v>258</v>
      </c>
      <c r="F99" s="269">
        <v>2014</v>
      </c>
      <c r="G99" s="270"/>
      <c r="H99" s="271"/>
    </row>
    <row r="100" spans="2:34" ht="15" customHeight="1" x14ac:dyDescent="0.3">
      <c r="B100" s="10" t="s">
        <v>38</v>
      </c>
      <c r="C100" s="10"/>
      <c r="D100" s="10"/>
      <c r="E100" s="9"/>
      <c r="F100" s="42"/>
    </row>
    <row r="101" spans="2:34" ht="15" customHeight="1" x14ac:dyDescent="0.25">
      <c r="B101" s="48"/>
      <c r="C101" s="48"/>
      <c r="D101" s="48"/>
      <c r="E101" s="48"/>
      <c r="F101" s="48"/>
      <c r="G101" s="48"/>
      <c r="H101" s="48"/>
      <c r="I101" s="48"/>
      <c r="J101" s="48"/>
      <c r="K101" s="48"/>
      <c r="L101" s="48"/>
      <c r="M101" s="48"/>
    </row>
    <row r="102" spans="2:34" ht="15" customHeight="1" x14ac:dyDescent="0.25">
      <c r="B102" s="48"/>
      <c r="C102" s="48"/>
      <c r="D102" s="48"/>
      <c r="E102" s="48"/>
      <c r="F102" s="48"/>
      <c r="G102" s="48"/>
      <c r="H102" s="48"/>
      <c r="I102" s="48"/>
      <c r="J102" s="48"/>
      <c r="K102" s="48"/>
      <c r="L102" s="48"/>
      <c r="M102" s="48"/>
    </row>
    <row r="103" spans="2:34" s="7" customFormat="1" ht="15" customHeight="1" x14ac:dyDescent="0.25">
      <c r="B103" s="48"/>
      <c r="C103" s="48"/>
      <c r="D103" s="48"/>
      <c r="E103" s="48"/>
      <c r="F103" s="48"/>
      <c r="G103" s="48"/>
      <c r="H103" s="48"/>
      <c r="I103" s="48"/>
      <c r="J103" s="48"/>
      <c r="K103" s="48"/>
      <c r="L103" s="48"/>
      <c r="M103" s="48"/>
      <c r="AH103" s="1"/>
    </row>
    <row r="104" spans="2:34" s="7" customFormat="1" ht="15" customHeight="1" x14ac:dyDescent="0.25">
      <c r="B104" s="48"/>
      <c r="C104" s="48"/>
      <c r="D104" s="48"/>
      <c r="E104" s="48"/>
      <c r="F104" s="48"/>
      <c r="G104" s="48"/>
      <c r="H104" s="48"/>
      <c r="I104" s="48"/>
      <c r="J104" s="48"/>
      <c r="K104" s="48"/>
      <c r="L104" s="48"/>
      <c r="M104" s="48"/>
    </row>
    <row r="105" spans="2:34" s="7" customFormat="1" x14ac:dyDescent="0.25">
      <c r="B105" s="48"/>
      <c r="C105" s="48"/>
      <c r="D105" s="48"/>
      <c r="E105" s="48"/>
      <c r="F105" s="48"/>
      <c r="G105" s="48"/>
      <c r="H105" s="48"/>
      <c r="I105" s="48"/>
      <c r="J105" s="48"/>
      <c r="K105" s="48"/>
      <c r="L105" s="48"/>
      <c r="M105" s="48"/>
    </row>
    <row r="106" spans="2:34" s="7" customFormat="1" x14ac:dyDescent="0.25">
      <c r="B106" s="48"/>
      <c r="C106" s="48"/>
      <c r="D106" s="48"/>
      <c r="E106" s="48"/>
      <c r="F106" s="48"/>
      <c r="G106" s="48"/>
      <c r="H106" s="48"/>
      <c r="I106" s="48"/>
      <c r="J106" s="48"/>
      <c r="K106" s="48"/>
      <c r="L106" s="48"/>
      <c r="M106" s="48"/>
    </row>
    <row r="107" spans="2:34" s="7" customFormat="1" x14ac:dyDescent="0.25">
      <c r="B107" s="48"/>
      <c r="C107" s="48"/>
      <c r="D107" s="48"/>
      <c r="E107" s="48"/>
      <c r="F107" s="48"/>
      <c r="G107" s="48"/>
      <c r="H107" s="48"/>
      <c r="I107" s="48"/>
      <c r="J107" s="48"/>
      <c r="K107" s="48"/>
      <c r="L107" s="48"/>
      <c r="M107" s="48"/>
    </row>
    <row r="108" spans="2:34" x14ac:dyDescent="0.25">
      <c r="B108" s="48"/>
      <c r="C108" s="48"/>
      <c r="D108" s="48"/>
      <c r="E108" s="48"/>
      <c r="F108" s="48"/>
      <c r="G108" s="48"/>
      <c r="H108" s="48"/>
      <c r="I108" s="48"/>
      <c r="J108" s="48"/>
      <c r="K108" s="48"/>
      <c r="L108" s="48"/>
      <c r="M108" s="48"/>
      <c r="AH108" s="7"/>
    </row>
    <row r="109" spans="2:34" x14ac:dyDescent="0.25">
      <c r="B109" s="48"/>
      <c r="C109" s="48"/>
      <c r="D109" s="48"/>
      <c r="E109" s="48"/>
      <c r="F109" s="48"/>
      <c r="G109" s="48"/>
      <c r="H109" s="48"/>
      <c r="I109" s="48"/>
      <c r="J109" s="48"/>
      <c r="K109" s="48"/>
      <c r="L109" s="48"/>
      <c r="M109" s="48"/>
    </row>
    <row r="110" spans="2:34" x14ac:dyDescent="0.25">
      <c r="B110" s="48"/>
      <c r="C110" s="48"/>
      <c r="D110" s="48"/>
      <c r="E110" s="48"/>
      <c r="F110" s="48"/>
      <c r="G110" s="48"/>
      <c r="H110" s="48"/>
      <c r="I110" s="48"/>
      <c r="J110" s="48"/>
      <c r="K110" s="48"/>
      <c r="L110" s="48"/>
      <c r="M110" s="48"/>
    </row>
    <row r="111" spans="2:34" x14ac:dyDescent="0.25">
      <c r="B111" s="48"/>
      <c r="C111" s="48"/>
      <c r="D111" s="48"/>
      <c r="E111" s="48"/>
      <c r="F111" s="48"/>
      <c r="G111" s="48"/>
      <c r="H111" s="48"/>
      <c r="I111" s="48"/>
      <c r="J111" s="48"/>
      <c r="K111" s="48"/>
      <c r="L111" s="48"/>
      <c r="M111" s="48"/>
    </row>
    <row r="112" spans="2:34" x14ac:dyDescent="0.25">
      <c r="B112" s="48"/>
      <c r="C112" s="48"/>
      <c r="D112" s="48"/>
      <c r="E112" s="48"/>
      <c r="F112" s="48"/>
      <c r="G112" s="48"/>
      <c r="H112" s="48"/>
      <c r="I112" s="48"/>
      <c r="J112" s="48"/>
      <c r="K112" s="48"/>
      <c r="L112" s="48"/>
      <c r="M112" s="48"/>
    </row>
    <row r="113" spans="2:13" x14ac:dyDescent="0.25">
      <c r="B113" s="48"/>
      <c r="C113" s="48"/>
      <c r="D113" s="48"/>
      <c r="E113" s="48"/>
      <c r="F113" s="48"/>
      <c r="G113" s="48"/>
      <c r="H113" s="48"/>
      <c r="I113" s="48"/>
      <c r="J113" s="48"/>
      <c r="K113" s="48"/>
      <c r="L113" s="48"/>
      <c r="M113" s="48"/>
    </row>
    <row r="114" spans="2:13" x14ac:dyDescent="0.25">
      <c r="B114" s="48"/>
      <c r="C114" s="48"/>
      <c r="D114" s="48"/>
      <c r="E114" s="48"/>
      <c r="F114" s="48"/>
      <c r="G114" s="48"/>
      <c r="H114" s="48"/>
      <c r="I114" s="48"/>
      <c r="J114" s="48"/>
      <c r="K114" s="48"/>
      <c r="L114" s="48"/>
      <c r="M114" s="48"/>
    </row>
    <row r="115" spans="2:13" ht="13" x14ac:dyDescent="0.3">
      <c r="B115" s="2" t="s">
        <v>39</v>
      </c>
      <c r="C115" s="48"/>
      <c r="D115" s="48"/>
      <c r="E115" s="48"/>
      <c r="F115" s="48"/>
      <c r="G115" s="48"/>
      <c r="H115" s="48"/>
      <c r="I115" s="48"/>
      <c r="J115" s="48"/>
      <c r="K115" s="48"/>
      <c r="L115" s="48"/>
      <c r="M115" s="48"/>
    </row>
    <row r="116" spans="2:13" x14ac:dyDescent="0.25">
      <c r="B116" s="48"/>
      <c r="C116" s="48"/>
      <c r="D116" s="48"/>
      <c r="E116" s="48"/>
      <c r="F116" s="48"/>
      <c r="G116" s="48"/>
      <c r="H116" s="48"/>
      <c r="I116" s="48"/>
      <c r="J116" s="48"/>
      <c r="K116" s="48"/>
      <c r="L116" s="48"/>
      <c r="M116" s="48"/>
    </row>
    <row r="117" spans="2:13" x14ac:dyDescent="0.25">
      <c r="B117" s="48"/>
      <c r="C117" s="48"/>
      <c r="D117" s="48"/>
      <c r="E117" s="48"/>
      <c r="F117" s="48"/>
      <c r="G117" s="48"/>
      <c r="H117" s="48"/>
      <c r="I117" s="48"/>
      <c r="J117" s="48"/>
      <c r="K117" s="48"/>
      <c r="L117" s="48"/>
      <c r="M117" s="48"/>
    </row>
    <row r="118" spans="2:13" x14ac:dyDescent="0.25">
      <c r="B118" s="48"/>
      <c r="C118" s="48"/>
      <c r="D118" s="48"/>
      <c r="E118" s="48"/>
      <c r="F118" s="48"/>
      <c r="G118" s="48"/>
      <c r="H118" s="48"/>
      <c r="I118" s="48"/>
      <c r="J118" s="48"/>
      <c r="K118" s="48"/>
      <c r="L118" s="48"/>
      <c r="M118" s="48"/>
    </row>
    <row r="119" spans="2:13" x14ac:dyDescent="0.25">
      <c r="B119" s="48"/>
      <c r="C119" s="48"/>
      <c r="D119" s="48"/>
      <c r="E119" s="48"/>
      <c r="F119" s="48"/>
      <c r="G119" s="48"/>
      <c r="H119" s="48"/>
      <c r="I119" s="48"/>
      <c r="J119" s="48"/>
      <c r="K119" s="48"/>
      <c r="L119" s="48"/>
      <c r="M119" s="48"/>
    </row>
    <row r="120" spans="2:13" x14ac:dyDescent="0.25">
      <c r="B120" s="48"/>
      <c r="C120" s="48"/>
      <c r="D120" s="48"/>
      <c r="E120" s="48"/>
      <c r="F120" s="48"/>
      <c r="G120" s="48"/>
      <c r="H120" s="48"/>
      <c r="I120" s="48"/>
      <c r="J120" s="48"/>
      <c r="K120" s="48"/>
      <c r="L120" s="48"/>
      <c r="M120" s="48"/>
    </row>
    <row r="121" spans="2:13" x14ac:dyDescent="0.25">
      <c r="B121" s="48"/>
      <c r="C121" s="48"/>
      <c r="D121" s="48"/>
      <c r="E121" s="48"/>
      <c r="F121" s="48"/>
      <c r="G121" s="48"/>
      <c r="H121" s="48"/>
      <c r="I121" s="48"/>
      <c r="J121" s="48"/>
      <c r="K121" s="48"/>
      <c r="L121" s="48"/>
      <c r="M121" s="48"/>
    </row>
    <row r="122" spans="2:13" x14ac:dyDescent="0.25">
      <c r="B122" s="48"/>
      <c r="C122" s="48"/>
      <c r="D122" s="48"/>
      <c r="E122" s="48"/>
      <c r="F122" s="48"/>
      <c r="G122" s="48"/>
      <c r="H122" s="48"/>
      <c r="I122" s="48"/>
      <c r="J122" s="48"/>
      <c r="K122" s="48"/>
      <c r="L122" s="48"/>
      <c r="M122" s="48"/>
    </row>
    <row r="123" spans="2:13" x14ac:dyDescent="0.25">
      <c r="B123" s="48"/>
      <c r="C123" s="48"/>
      <c r="D123" s="48"/>
      <c r="E123" s="48"/>
      <c r="F123" s="48"/>
      <c r="G123" s="48"/>
      <c r="H123" s="48"/>
      <c r="I123" s="48"/>
      <c r="J123" s="48"/>
      <c r="K123" s="48"/>
      <c r="L123" s="48"/>
      <c r="M123" s="48"/>
    </row>
    <row r="124" spans="2:13" x14ac:dyDescent="0.25">
      <c r="B124" s="48"/>
      <c r="C124" s="48"/>
      <c r="D124" s="48"/>
      <c r="E124" s="48"/>
      <c r="F124" s="48"/>
      <c r="G124" s="48"/>
      <c r="H124" s="48"/>
      <c r="I124" s="48"/>
      <c r="J124" s="48"/>
      <c r="K124" s="48"/>
      <c r="L124" s="48"/>
      <c r="M124" s="48"/>
    </row>
    <row r="125" spans="2:13" x14ac:dyDescent="0.25">
      <c r="B125" s="48"/>
      <c r="C125" s="48"/>
      <c r="D125" s="48"/>
      <c r="E125" s="48"/>
      <c r="F125" s="48"/>
      <c r="G125" s="48"/>
      <c r="H125" s="48"/>
      <c r="I125" s="48"/>
      <c r="J125" s="48"/>
      <c r="K125" s="48"/>
      <c r="L125" s="48"/>
      <c r="M125" s="48"/>
    </row>
    <row r="126" spans="2:13" x14ac:dyDescent="0.25">
      <c r="B126" s="48"/>
      <c r="C126" s="48"/>
      <c r="D126" s="48"/>
      <c r="E126" s="48"/>
      <c r="F126" s="48"/>
      <c r="G126" s="48"/>
      <c r="H126" s="48"/>
      <c r="I126" s="48"/>
      <c r="J126" s="48"/>
      <c r="K126" s="48"/>
      <c r="L126" s="48"/>
      <c r="M126" s="48"/>
    </row>
    <row r="127" spans="2:13" x14ac:dyDescent="0.25">
      <c r="B127" s="48"/>
      <c r="C127" s="48"/>
      <c r="D127" s="48"/>
      <c r="E127" s="48"/>
      <c r="F127" s="48"/>
      <c r="G127" s="48"/>
      <c r="H127" s="48"/>
      <c r="I127" s="48"/>
      <c r="J127" s="48"/>
      <c r="K127" s="48"/>
      <c r="L127" s="48"/>
      <c r="M127" s="48"/>
    </row>
    <row r="128" spans="2:13" x14ac:dyDescent="0.25">
      <c r="B128" s="48"/>
      <c r="C128" s="48"/>
      <c r="D128" s="48"/>
      <c r="E128" s="48"/>
      <c r="F128" s="48"/>
      <c r="G128" s="48"/>
      <c r="H128" s="48"/>
      <c r="I128" s="48"/>
      <c r="J128" s="48"/>
      <c r="K128" s="48"/>
      <c r="L128" s="48"/>
      <c r="M128" s="48"/>
    </row>
    <row r="129" spans="2:13" x14ac:dyDescent="0.25">
      <c r="B129" s="48"/>
      <c r="C129" s="48"/>
      <c r="D129" s="48"/>
      <c r="E129" s="48"/>
      <c r="F129" s="48"/>
      <c r="G129" s="48"/>
      <c r="H129" s="48"/>
      <c r="I129" s="48"/>
      <c r="J129" s="48"/>
      <c r="K129" s="48"/>
      <c r="L129" s="48"/>
      <c r="M129" s="48"/>
    </row>
    <row r="130" spans="2:13" x14ac:dyDescent="0.25">
      <c r="B130" s="48"/>
      <c r="C130" s="48"/>
      <c r="D130" s="48"/>
      <c r="E130" s="48"/>
      <c r="F130" s="48"/>
      <c r="G130" s="48"/>
      <c r="H130" s="48"/>
      <c r="I130" s="48"/>
      <c r="J130" s="48"/>
      <c r="K130" s="48"/>
      <c r="L130" s="48"/>
      <c r="M130" s="48"/>
    </row>
    <row r="131" spans="2:13" x14ac:dyDescent="0.25">
      <c r="B131" s="48"/>
      <c r="C131" s="48"/>
      <c r="D131" s="48"/>
      <c r="E131" s="48"/>
      <c r="F131" s="48"/>
      <c r="G131" s="48"/>
      <c r="H131" s="48"/>
      <c r="I131" s="48"/>
      <c r="J131" s="48"/>
      <c r="K131" s="48"/>
      <c r="L131" s="48"/>
      <c r="M131" s="48"/>
    </row>
    <row r="132" spans="2:13" x14ac:dyDescent="0.25">
      <c r="B132" s="48"/>
      <c r="C132" s="48"/>
      <c r="D132" s="48"/>
      <c r="E132" s="48"/>
      <c r="F132" s="48"/>
      <c r="G132" s="48"/>
      <c r="H132" s="48"/>
      <c r="I132" s="48"/>
      <c r="J132" s="48"/>
      <c r="K132" s="48"/>
      <c r="L132" s="48"/>
      <c r="M132" s="48"/>
    </row>
    <row r="133" spans="2:13" x14ac:dyDescent="0.25">
      <c r="B133" s="48"/>
      <c r="C133" s="48"/>
      <c r="D133" s="48"/>
      <c r="E133" s="48"/>
      <c r="F133" s="48"/>
      <c r="G133" s="48"/>
      <c r="H133" s="48"/>
      <c r="I133" s="48"/>
      <c r="J133" s="48"/>
      <c r="K133" s="48"/>
      <c r="L133" s="48"/>
      <c r="M133" s="48"/>
    </row>
    <row r="134" spans="2:13" x14ac:dyDescent="0.25">
      <c r="B134" s="48"/>
      <c r="C134" s="48"/>
      <c r="D134" s="48"/>
      <c r="E134" s="48"/>
      <c r="F134" s="48"/>
      <c r="G134" s="48"/>
      <c r="H134" s="48"/>
      <c r="I134" s="48"/>
      <c r="J134" s="48"/>
      <c r="K134" s="48"/>
      <c r="L134" s="48"/>
      <c r="M134" s="48"/>
    </row>
    <row r="135" spans="2:13" x14ac:dyDescent="0.25">
      <c r="B135" s="48"/>
      <c r="C135" s="48"/>
      <c r="D135" s="48"/>
      <c r="E135" s="48"/>
      <c r="F135" s="48"/>
      <c r="G135" s="48"/>
      <c r="H135" s="48"/>
      <c r="I135" s="48"/>
      <c r="J135" s="48"/>
      <c r="K135" s="48"/>
      <c r="L135" s="48"/>
      <c r="M135" s="48"/>
    </row>
    <row r="136" spans="2:13" x14ac:dyDescent="0.25">
      <c r="B136" s="48"/>
      <c r="C136" s="48"/>
      <c r="D136" s="48"/>
      <c r="E136" s="48"/>
      <c r="F136" s="48"/>
      <c r="G136" s="48"/>
      <c r="H136" s="48"/>
      <c r="I136" s="48"/>
      <c r="J136" s="48"/>
      <c r="K136" s="48"/>
      <c r="L136" s="48"/>
      <c r="M136" s="48"/>
    </row>
  </sheetData>
  <mergeCells count="16">
    <mergeCell ref="C7:E7"/>
    <mergeCell ref="I2:N2"/>
    <mergeCell ref="C3:E3"/>
    <mergeCell ref="C4:E4"/>
    <mergeCell ref="C5:E5"/>
    <mergeCell ref="C6:E6"/>
    <mergeCell ref="F66:H66"/>
    <mergeCell ref="F67:H67"/>
    <mergeCell ref="F98:H98"/>
    <mergeCell ref="F99:H99"/>
    <mergeCell ref="G10:N10"/>
    <mergeCell ref="I14:M14"/>
    <mergeCell ref="F36:H36"/>
    <mergeCell ref="F37:H37"/>
    <mergeCell ref="B39:G39"/>
    <mergeCell ref="C43:D43"/>
  </mergeCells>
  <pageMargins left="0.7" right="0.7" top="0.75" bottom="0.75" header="0.3" footer="0.3"/>
  <pageSetup scale="7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sizeWithCells="1">
                  <from>
                    <xdr:col>2</xdr:col>
                    <xdr:colOff>25400</xdr:colOff>
                    <xdr:row>8</xdr:row>
                    <xdr:rowOff>6350</xdr:rowOff>
                  </from>
                  <to>
                    <xdr:col>4</xdr:col>
                    <xdr:colOff>571500</xdr:colOff>
                    <xdr:row>9</xdr:row>
                    <xdr:rowOff>25400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sizeWithCells="1">
                  <from>
                    <xdr:col>2</xdr:col>
                    <xdr:colOff>25400</xdr:colOff>
                    <xdr:row>9</xdr:row>
                    <xdr:rowOff>31750</xdr:rowOff>
                  </from>
                  <to>
                    <xdr:col>5</xdr:col>
                    <xdr:colOff>0</xdr:colOff>
                    <xdr:row>10</xdr:row>
                    <xdr:rowOff>31750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sizeWithCells="1">
                  <from>
                    <xdr:col>2</xdr:col>
                    <xdr:colOff>25400</xdr:colOff>
                    <xdr:row>10</xdr:row>
                    <xdr:rowOff>69850</xdr:rowOff>
                  </from>
                  <to>
                    <xdr:col>5</xdr:col>
                    <xdr:colOff>114300</xdr:colOff>
                    <xdr:row>11</xdr:row>
                    <xdr:rowOff>6350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6"/>
  <sheetViews>
    <sheetView zoomScaleNormal="100" workbookViewId="0">
      <selection activeCell="B6" sqref="B6:D6"/>
    </sheetView>
  </sheetViews>
  <sheetFormatPr defaultColWidth="9.08984375" defaultRowHeight="12.5" x14ac:dyDescent="0.25"/>
  <cols>
    <col min="1" max="2" width="16.6328125" style="89" customWidth="1"/>
    <col min="3" max="3" width="17.08984375" style="89" customWidth="1"/>
    <col min="4" max="4" width="16" style="89" customWidth="1"/>
    <col min="5" max="5" width="4.453125" style="89" customWidth="1"/>
    <col min="6" max="6" width="14.453125" style="89" customWidth="1"/>
    <col min="7" max="7" width="15.36328125" style="89" customWidth="1"/>
    <col min="8" max="8" width="12.36328125" style="89" customWidth="1"/>
    <col min="9" max="9" width="11.08984375" style="89" customWidth="1"/>
    <col min="10" max="10" width="9.08984375" style="89"/>
    <col min="11" max="11" width="11.6328125" style="89" customWidth="1"/>
    <col min="12" max="16384" width="9.08984375" style="89"/>
  </cols>
  <sheetData>
    <row r="1" spans="1:11" ht="14" x14ac:dyDescent="0.25">
      <c r="A1" s="288" t="s">
        <v>192</v>
      </c>
      <c r="B1" s="288"/>
      <c r="C1" s="288"/>
      <c r="D1" s="288"/>
      <c r="E1" s="288"/>
      <c r="F1" s="288"/>
      <c r="G1" s="288"/>
      <c r="H1" s="288"/>
      <c r="I1" s="288"/>
    </row>
    <row r="2" spans="1:11" ht="14" x14ac:dyDescent="0.25">
      <c r="A2" s="289" t="s">
        <v>193</v>
      </c>
      <c r="B2" s="289"/>
      <c r="C2" s="289"/>
      <c r="D2" s="289"/>
      <c r="E2" s="289"/>
      <c r="F2" s="289"/>
      <c r="G2" s="289"/>
      <c r="H2" s="289"/>
      <c r="I2" s="289"/>
    </row>
    <row r="3" spans="1:11" s="91" customFormat="1" ht="18" x14ac:dyDescent="0.5">
      <c r="A3" s="90" t="s">
        <v>116</v>
      </c>
    </row>
    <row r="4" spans="1:11" ht="15" customHeight="1" x14ac:dyDescent="0.3">
      <c r="A4" s="92"/>
    </row>
    <row r="5" spans="1:11" ht="14.25" customHeight="1" thickBot="1" x14ac:dyDescent="0.35">
      <c r="A5" s="93" t="s">
        <v>4</v>
      </c>
      <c r="B5" s="298" t="s">
        <v>198</v>
      </c>
      <c r="C5" s="298"/>
      <c r="D5" s="298"/>
      <c r="F5" s="296" t="s">
        <v>124</v>
      </c>
      <c r="G5" s="296"/>
      <c r="H5" s="296"/>
      <c r="I5" s="296"/>
      <c r="K5" s="94"/>
    </row>
    <row r="6" spans="1:11" ht="15" customHeight="1" x14ac:dyDescent="0.3">
      <c r="A6" s="95" t="s">
        <v>41</v>
      </c>
      <c r="B6" s="299">
        <v>42517</v>
      </c>
      <c r="C6" s="300"/>
      <c r="D6" s="300"/>
      <c r="E6" s="96"/>
      <c r="G6" s="97" t="s">
        <v>119</v>
      </c>
      <c r="H6" s="98"/>
      <c r="I6" s="97" t="s">
        <v>121</v>
      </c>
    </row>
    <row r="7" spans="1:11" ht="15" customHeight="1" x14ac:dyDescent="0.3">
      <c r="A7" s="99" t="s">
        <v>40</v>
      </c>
      <c r="B7" s="301" t="s">
        <v>199</v>
      </c>
      <c r="C7" s="302"/>
      <c r="D7" s="302"/>
      <c r="E7" s="91"/>
      <c r="G7" s="100" t="s">
        <v>120</v>
      </c>
      <c r="I7" s="100" t="s">
        <v>120</v>
      </c>
    </row>
    <row r="8" spans="1:11" ht="15" customHeight="1" thickBot="1" x14ac:dyDescent="0.3">
      <c r="A8" s="99" t="s">
        <v>1</v>
      </c>
      <c r="B8" s="302" t="s">
        <v>200</v>
      </c>
      <c r="C8" s="302"/>
      <c r="D8" s="302"/>
      <c r="E8" s="91"/>
      <c r="F8" s="101" t="s">
        <v>125</v>
      </c>
      <c r="G8" s="102">
        <v>12088.8</v>
      </c>
      <c r="H8" s="101" t="s">
        <v>126</v>
      </c>
      <c r="I8" s="103">
        <v>7008</v>
      </c>
    </row>
    <row r="9" spans="1:11" ht="15" customHeight="1" x14ac:dyDescent="0.3">
      <c r="A9" s="99" t="s">
        <v>2</v>
      </c>
      <c r="B9" s="303" t="s">
        <v>201</v>
      </c>
      <c r="C9" s="304"/>
      <c r="D9" s="304"/>
      <c r="E9" s="91"/>
      <c r="F9" s="101" t="s">
        <v>3</v>
      </c>
      <c r="G9" s="104">
        <v>18152.929107328</v>
      </c>
    </row>
    <row r="10" spans="1:11" ht="15" customHeight="1" thickBot="1" x14ac:dyDescent="0.3">
      <c r="A10" s="99"/>
      <c r="B10" s="105"/>
      <c r="C10" s="91"/>
      <c r="D10" s="91"/>
      <c r="E10" s="91"/>
      <c r="F10" s="101" t="s">
        <v>195</v>
      </c>
      <c r="G10" s="106">
        <v>6064.1291073280008</v>
      </c>
    </row>
    <row r="11" spans="1:11" s="91" customFormat="1" ht="13.5" thickBot="1" x14ac:dyDescent="0.35">
      <c r="A11" s="297" t="s">
        <v>33</v>
      </c>
      <c r="B11" s="297"/>
      <c r="C11" s="297"/>
      <c r="D11" s="297"/>
      <c r="E11" s="107"/>
      <c r="H11" s="89"/>
      <c r="I11" s="89"/>
    </row>
    <row r="12" spans="1:11" s="91" customFormat="1" ht="13" x14ac:dyDescent="0.3">
      <c r="A12" s="291" t="s">
        <v>35</v>
      </c>
      <c r="B12" s="291"/>
      <c r="C12" s="295" t="s">
        <v>117</v>
      </c>
      <c r="D12" s="291"/>
      <c r="F12" s="89"/>
      <c r="G12" s="89"/>
      <c r="H12" s="89"/>
      <c r="I12" s="89"/>
    </row>
    <row r="13" spans="1:11" ht="39" x14ac:dyDescent="0.3">
      <c r="A13" s="108" t="s">
        <v>37</v>
      </c>
      <c r="B13" s="109" t="s">
        <v>36</v>
      </c>
      <c r="C13" s="109" t="s">
        <v>122</v>
      </c>
      <c r="D13" s="109" t="s">
        <v>123</v>
      </c>
    </row>
    <row r="14" spans="1:11" ht="15" customHeight="1" x14ac:dyDescent="0.25">
      <c r="A14" s="80">
        <v>60268.799999999996</v>
      </c>
      <c r="B14" s="81">
        <v>12088.8</v>
      </c>
      <c r="C14" s="80">
        <v>35478</v>
      </c>
      <c r="D14" s="81">
        <v>7008</v>
      </c>
    </row>
    <row r="15" spans="1:11" ht="15" customHeight="1" thickBot="1" x14ac:dyDescent="0.3">
      <c r="A15" s="91"/>
      <c r="B15" s="91"/>
      <c r="C15" s="91"/>
      <c r="D15" s="91"/>
      <c r="E15" s="91"/>
      <c r="F15" s="91"/>
      <c r="G15" s="91"/>
    </row>
    <row r="16" spans="1:11" ht="13.5" thickTop="1" x14ac:dyDescent="0.3">
      <c r="A16" s="292" t="s">
        <v>3</v>
      </c>
      <c r="B16" s="292"/>
      <c r="C16" s="292"/>
      <c r="D16" s="292"/>
      <c r="E16" s="292"/>
      <c r="F16" s="292"/>
      <c r="G16" s="292"/>
    </row>
    <row r="17" spans="1:7" ht="15" customHeight="1" x14ac:dyDescent="0.3">
      <c r="A17" s="110"/>
      <c r="C17" s="291" t="s">
        <v>74</v>
      </c>
      <c r="D17" s="291"/>
      <c r="F17" s="291" t="s">
        <v>118</v>
      </c>
      <c r="G17" s="291"/>
    </row>
    <row r="18" spans="1:7" ht="30.75" customHeight="1" x14ac:dyDescent="0.3">
      <c r="B18" s="111" t="s">
        <v>24</v>
      </c>
      <c r="C18" s="112" t="s">
        <v>7</v>
      </c>
      <c r="D18" s="112" t="s">
        <v>8</v>
      </c>
      <c r="F18" s="112" t="s">
        <v>7</v>
      </c>
      <c r="G18" s="112" t="s">
        <v>8</v>
      </c>
    </row>
    <row r="19" spans="1:7" ht="15" customHeight="1" x14ac:dyDescent="0.25">
      <c r="B19" s="15" t="s">
        <v>9</v>
      </c>
      <c r="C19" s="82">
        <v>2140.9932360000007</v>
      </c>
      <c r="D19" s="83">
        <v>952643.21444750705</v>
      </c>
      <c r="F19" s="82">
        <v>7488.0514639999983</v>
      </c>
      <c r="G19" s="83">
        <v>1615218.9282536912</v>
      </c>
    </row>
    <row r="20" spans="1:7" ht="15" customHeight="1" x14ac:dyDescent="0.25">
      <c r="B20" s="15" t="s">
        <v>10</v>
      </c>
      <c r="C20" s="263">
        <v>511.42236999999994</v>
      </c>
      <c r="D20" s="83">
        <v>178712.65286685043</v>
      </c>
      <c r="F20" s="263">
        <v>1158.4226773280002</v>
      </c>
      <c r="G20" s="83">
        <v>289751.17569522146</v>
      </c>
    </row>
    <row r="21" spans="1:7" ht="15" customHeight="1" x14ac:dyDescent="0.25">
      <c r="B21" s="15" t="s">
        <v>11</v>
      </c>
      <c r="C21" s="263">
        <v>20.540290000000002</v>
      </c>
      <c r="D21" s="83">
        <v>13781.459187293616</v>
      </c>
      <c r="F21" s="263">
        <v>9.3471899999999994</v>
      </c>
      <c r="G21" s="83">
        <v>12562.544005676391</v>
      </c>
    </row>
    <row r="22" spans="1:7" ht="15" customHeight="1" x14ac:dyDescent="0.25">
      <c r="B22" s="15" t="s">
        <v>12</v>
      </c>
      <c r="C22" s="82"/>
      <c r="D22" s="83"/>
      <c r="F22" s="82"/>
      <c r="G22" s="83"/>
    </row>
    <row r="23" spans="1:7" ht="15" customHeight="1" x14ac:dyDescent="0.25">
      <c r="B23" s="15" t="s">
        <v>20</v>
      </c>
      <c r="C23" s="263">
        <v>887.41266000000007</v>
      </c>
      <c r="D23" s="83">
        <v>39911.78</v>
      </c>
      <c r="F23" s="263">
        <v>436.73521999999997</v>
      </c>
      <c r="G23" s="83">
        <v>33080.32</v>
      </c>
    </row>
    <row r="24" spans="1:7" ht="15" customHeight="1" x14ac:dyDescent="0.25">
      <c r="B24" s="113" t="s">
        <v>21</v>
      </c>
      <c r="C24" s="82"/>
      <c r="D24" s="83"/>
      <c r="F24" s="82"/>
      <c r="G24" s="83"/>
    </row>
    <row r="25" spans="1:7" ht="15" customHeight="1" x14ac:dyDescent="0.25">
      <c r="B25" s="113" t="s">
        <v>5</v>
      </c>
      <c r="C25" s="84">
        <v>2893.1280000000002</v>
      </c>
      <c r="D25" s="83"/>
      <c r="F25" s="84">
        <v>2606.8760000000002</v>
      </c>
      <c r="G25" s="83"/>
    </row>
    <row r="26" spans="1:7" ht="15" customHeight="1" x14ac:dyDescent="0.3">
      <c r="B26" s="85"/>
      <c r="C26" s="84"/>
      <c r="D26" s="83"/>
      <c r="F26" s="84"/>
      <c r="G26" s="83"/>
    </row>
    <row r="27" spans="1:7" ht="15" customHeight="1" x14ac:dyDescent="0.3">
      <c r="B27" s="85"/>
      <c r="C27" s="84"/>
      <c r="D27" s="83"/>
      <c r="F27" s="84"/>
      <c r="G27" s="83"/>
    </row>
    <row r="28" spans="1:7" ht="30.75" customHeight="1" x14ac:dyDescent="0.25">
      <c r="A28" s="293" t="s">
        <v>34</v>
      </c>
      <c r="B28" s="294"/>
      <c r="D28" s="114"/>
      <c r="G28" s="114"/>
    </row>
    <row r="29" spans="1:7" ht="15" customHeight="1" x14ac:dyDescent="0.25">
      <c r="B29" s="86"/>
      <c r="C29" s="115"/>
      <c r="D29" s="83"/>
      <c r="F29" s="115"/>
      <c r="G29" s="83"/>
    </row>
    <row r="30" spans="1:7" ht="15" customHeight="1" x14ac:dyDescent="0.25">
      <c r="B30" s="86"/>
      <c r="C30" s="116"/>
      <c r="D30" s="83"/>
      <c r="F30" s="116"/>
      <c r="G30" s="83"/>
    </row>
    <row r="31" spans="1:7" ht="15" customHeight="1" x14ac:dyDescent="0.3">
      <c r="B31" s="117" t="s">
        <v>6</v>
      </c>
      <c r="C31" s="118">
        <f>SUM(C19:C27)</f>
        <v>6453.4965560000001</v>
      </c>
      <c r="D31" s="119">
        <f>SUM(D19:D30)</f>
        <v>1185049.1065016512</v>
      </c>
      <c r="F31" s="118">
        <f>SUM(F19:F27)</f>
        <v>11699.432551328</v>
      </c>
      <c r="G31" s="119">
        <f>SUM(G19:G30)</f>
        <v>1950612.9679545891</v>
      </c>
    </row>
    <row r="32" spans="1:7" ht="15" customHeight="1" x14ac:dyDescent="0.3">
      <c r="A32" s="120"/>
      <c r="B32" s="121"/>
      <c r="C32" s="122"/>
      <c r="D32" s="121"/>
      <c r="E32" s="122"/>
    </row>
    <row r="33" spans="1:9" s="91" customFormat="1" ht="15" customHeight="1" x14ac:dyDescent="0.3">
      <c r="A33" s="93" t="s">
        <v>4</v>
      </c>
      <c r="B33" s="290" t="str">
        <f>CON_Utility_Name</f>
        <v>PUD No. 1 of Clallam County</v>
      </c>
      <c r="C33" s="290"/>
      <c r="D33" s="290"/>
      <c r="E33" s="290"/>
      <c r="F33" s="89"/>
      <c r="G33" s="89"/>
    </row>
    <row r="34" spans="1:9" s="91" customFormat="1" ht="13" x14ac:dyDescent="0.3">
      <c r="A34" s="123" t="s">
        <v>13</v>
      </c>
      <c r="B34" s="306">
        <v>2016</v>
      </c>
      <c r="C34" s="306"/>
      <c r="D34" s="306"/>
      <c r="E34" s="306"/>
    </row>
    <row r="35" spans="1:9" s="91" customFormat="1" ht="13" x14ac:dyDescent="0.3">
      <c r="A35" s="123"/>
      <c r="B35" s="124"/>
      <c r="C35" s="124"/>
      <c r="D35" s="124"/>
      <c r="E35" s="124"/>
    </row>
    <row r="36" spans="1:9" ht="28.5" customHeight="1" x14ac:dyDescent="0.25">
      <c r="A36" s="305" t="s">
        <v>191</v>
      </c>
      <c r="B36" s="305"/>
      <c r="C36" s="305"/>
      <c r="D36" s="305"/>
      <c r="E36" s="305"/>
      <c r="F36" s="305"/>
      <c r="G36" s="305"/>
      <c r="H36" s="305"/>
      <c r="I36" s="305"/>
    </row>
    <row r="37" spans="1:9" s="78" customFormat="1" ht="270.75" customHeight="1" x14ac:dyDescent="0.25">
      <c r="A37" s="307"/>
      <c r="B37" s="307"/>
      <c r="C37" s="307"/>
      <c r="D37" s="307"/>
      <c r="E37" s="307"/>
      <c r="F37" s="307"/>
      <c r="G37" s="307"/>
      <c r="H37" s="307"/>
      <c r="I37" s="307"/>
    </row>
    <row r="38" spans="1:9" s="78" customFormat="1" x14ac:dyDescent="0.25"/>
    <row r="39" spans="1:9" s="78" customFormat="1" x14ac:dyDescent="0.25"/>
    <row r="40" spans="1:9" s="78" customFormat="1" x14ac:dyDescent="0.25"/>
    <row r="41" spans="1:9" s="78" customFormat="1" x14ac:dyDescent="0.25"/>
    <row r="42" spans="1:9" s="78" customFormat="1" x14ac:dyDescent="0.25"/>
    <row r="43" spans="1:9" s="78" customFormat="1" x14ac:dyDescent="0.25"/>
    <row r="44" spans="1:9" s="78" customFormat="1" x14ac:dyDescent="0.25"/>
    <row r="45" spans="1:9" s="78" customFormat="1" x14ac:dyDescent="0.25"/>
    <row r="46" spans="1:9" s="78" customFormat="1" x14ac:dyDescent="0.25"/>
    <row r="47" spans="1:9" s="78" customFormat="1" x14ac:dyDescent="0.25"/>
    <row r="48" spans="1:9" s="78" customFormat="1" x14ac:dyDescent="0.25"/>
    <row r="49" s="78" customFormat="1" x14ac:dyDescent="0.25"/>
    <row r="50" s="78" customFormat="1" x14ac:dyDescent="0.25"/>
    <row r="51" s="78" customFormat="1" x14ac:dyDescent="0.25"/>
    <row r="52" s="78" customFormat="1" x14ac:dyDescent="0.25"/>
    <row r="53" s="78" customFormat="1" x14ac:dyDescent="0.25"/>
    <row r="54" s="78" customFormat="1" x14ac:dyDescent="0.25"/>
    <row r="55" s="78" customFormat="1" x14ac:dyDescent="0.25"/>
    <row r="56" s="78" customFormat="1" x14ac:dyDescent="0.25"/>
  </sheetData>
  <mergeCells count="20">
    <mergeCell ref="B9:D9"/>
    <mergeCell ref="A36:I36"/>
    <mergeCell ref="B34:E34"/>
    <mergeCell ref="A37:I37"/>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s>
  <pageMargins left="0.7" right="0.7" top="0.75" bottom="0.75" header="0.3" footer="0.3"/>
  <pageSetup scale="98" fitToHeight="0" orientation="landscape" r:id="rId1"/>
  <rowBreaks count="1" manualBreakCount="1">
    <brk id="31"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zoomScaleNormal="100" zoomScaleSheetLayoutView="100" workbookViewId="0">
      <selection activeCell="E10" sqref="E10"/>
    </sheetView>
  </sheetViews>
  <sheetFormatPr defaultColWidth="9.08984375" defaultRowHeight="12.5" x14ac:dyDescent="0.25"/>
  <cols>
    <col min="1" max="1" width="30.08984375" style="1" customWidth="1"/>
    <col min="2" max="2" width="11.6328125" style="1" customWidth="1"/>
    <col min="3" max="3" width="10.36328125" style="1" customWidth="1"/>
    <col min="4" max="12" width="10.6328125" style="1" customWidth="1"/>
    <col min="13" max="13" width="11.6328125" style="1" customWidth="1"/>
    <col min="14" max="14" width="10.6328125" style="1" customWidth="1"/>
    <col min="15" max="15" width="10.54296875" style="1" customWidth="1"/>
    <col min="16" max="16" width="10.6328125" style="1" customWidth="1"/>
    <col min="17" max="16384" width="9.08984375" style="1"/>
  </cols>
  <sheetData>
    <row r="1" spans="1:33" ht="15" customHeight="1" x14ac:dyDescent="0.25">
      <c r="A1" s="308" t="s">
        <v>192</v>
      </c>
      <c r="B1" s="308"/>
      <c r="C1" s="308"/>
      <c r="D1" s="308"/>
      <c r="E1" s="308"/>
      <c r="F1" s="308"/>
      <c r="G1" s="308"/>
      <c r="H1" s="308"/>
      <c r="I1" s="308"/>
      <c r="J1" s="308"/>
      <c r="K1" s="308"/>
      <c r="L1" s="308"/>
      <c r="M1" s="308"/>
      <c r="N1" s="308"/>
    </row>
    <row r="2" spans="1:33" ht="15" customHeight="1" x14ac:dyDescent="0.25">
      <c r="A2" s="309" t="s">
        <v>193</v>
      </c>
      <c r="B2" s="309"/>
      <c r="C2" s="309"/>
      <c r="D2" s="309"/>
      <c r="E2" s="309"/>
      <c r="F2" s="309"/>
      <c r="G2" s="309"/>
      <c r="H2" s="309"/>
      <c r="I2" s="309"/>
      <c r="J2" s="309"/>
      <c r="K2" s="309"/>
      <c r="L2" s="309"/>
      <c r="M2" s="309"/>
      <c r="N2" s="309"/>
    </row>
    <row r="3" spans="1:33" s="7" customFormat="1" ht="18" x14ac:dyDescent="0.5">
      <c r="A3" s="26" t="s">
        <v>127</v>
      </c>
      <c r="B3" s="26"/>
      <c r="C3" s="26"/>
      <c r="AB3" s="24" t="s">
        <v>27</v>
      </c>
      <c r="AG3" s="21"/>
    </row>
    <row r="4" spans="1:33" ht="14" x14ac:dyDescent="0.3">
      <c r="A4" s="48"/>
      <c r="B4" s="48"/>
      <c r="C4" s="48"/>
      <c r="H4" s="282" t="s">
        <v>26</v>
      </c>
      <c r="I4" s="283"/>
      <c r="J4" s="283"/>
      <c r="K4" s="283"/>
      <c r="L4" s="283"/>
      <c r="M4" s="284"/>
      <c r="AB4" s="25" t="s">
        <v>28</v>
      </c>
      <c r="AG4" s="19"/>
    </row>
    <row r="5" spans="1:33" ht="15" customHeight="1" x14ac:dyDescent="0.3">
      <c r="A5" s="3" t="s">
        <v>4</v>
      </c>
      <c r="B5" s="298" t="s">
        <v>202</v>
      </c>
      <c r="C5" s="298"/>
      <c r="D5" s="298"/>
      <c r="H5" s="29"/>
      <c r="I5" s="7"/>
      <c r="J5" s="7"/>
      <c r="K5" s="7"/>
      <c r="L5" s="28" t="s">
        <v>99</v>
      </c>
      <c r="M5" s="261">
        <v>624052</v>
      </c>
      <c r="AB5" s="25" t="s">
        <v>29</v>
      </c>
      <c r="AG5" s="19"/>
    </row>
    <row r="6" spans="1:33" ht="15" customHeight="1" thickBot="1" x14ac:dyDescent="0.35">
      <c r="A6" s="4" t="s">
        <v>41</v>
      </c>
      <c r="B6" s="325">
        <v>42517</v>
      </c>
      <c r="C6" s="325"/>
      <c r="D6" s="325"/>
      <c r="H6" s="29"/>
      <c r="I6" s="7"/>
      <c r="J6" s="7"/>
      <c r="K6" s="7"/>
      <c r="L6" s="28" t="s">
        <v>132</v>
      </c>
      <c r="M6" s="261">
        <v>597742</v>
      </c>
      <c r="AB6" s="25" t="s">
        <v>30</v>
      </c>
      <c r="AG6" s="20"/>
    </row>
    <row r="7" spans="1:33" ht="15" customHeight="1" x14ac:dyDescent="0.25">
      <c r="A7" s="5" t="s">
        <v>0</v>
      </c>
      <c r="B7" s="326" t="s">
        <v>203</v>
      </c>
      <c r="C7" s="326"/>
      <c r="D7" s="326"/>
      <c r="H7" s="29"/>
      <c r="I7" s="7"/>
      <c r="J7" s="7"/>
      <c r="K7" s="7"/>
      <c r="L7" s="28" t="s">
        <v>100</v>
      </c>
      <c r="M7" s="262">
        <f>IF(REN_Load_2015+REN_Load_2014&gt;0,AVERAGE(REN_Load_2015,REN_Load_2014),0)</f>
        <v>610897</v>
      </c>
    </row>
    <row r="8" spans="1:33" ht="15" customHeight="1" x14ac:dyDescent="0.3">
      <c r="A8" s="5" t="s">
        <v>1</v>
      </c>
      <c r="B8" s="326" t="s">
        <v>204</v>
      </c>
      <c r="C8" s="326"/>
      <c r="D8" s="326"/>
      <c r="H8" s="29"/>
      <c r="I8" s="7"/>
      <c r="J8" s="7"/>
      <c r="K8" s="7"/>
      <c r="L8" s="28" t="s">
        <v>133</v>
      </c>
      <c r="M8" s="181">
        <v>0.09</v>
      </c>
    </row>
    <row r="9" spans="1:33" ht="15" customHeight="1" x14ac:dyDescent="0.3">
      <c r="A9" s="5" t="s">
        <v>2</v>
      </c>
      <c r="B9" s="327" t="s">
        <v>205</v>
      </c>
      <c r="C9" s="328"/>
      <c r="D9" s="328"/>
      <c r="H9" s="33"/>
      <c r="I9" s="7"/>
      <c r="J9" s="7"/>
      <c r="K9" s="7"/>
      <c r="L9" s="28" t="s">
        <v>141</v>
      </c>
      <c r="M9" s="46">
        <f>ROUND(M7*M8,0)</f>
        <v>54981</v>
      </c>
    </row>
    <row r="10" spans="1:33" ht="15" customHeight="1" x14ac:dyDescent="0.25">
      <c r="A10" s="5"/>
      <c r="B10" s="5"/>
      <c r="C10" s="5"/>
      <c r="D10" s="18"/>
      <c r="H10" s="30"/>
      <c r="I10" s="31"/>
      <c r="J10" s="31"/>
      <c r="K10" s="31"/>
      <c r="L10" s="32" t="s">
        <v>134</v>
      </c>
      <c r="M10" s="47">
        <f>SUM(C20:N20)</f>
        <v>54981</v>
      </c>
    </row>
    <row r="11" spans="1:33" ht="15" customHeight="1" x14ac:dyDescent="0.3">
      <c r="A11" s="3" t="s">
        <v>128</v>
      </c>
      <c r="B11" s="42"/>
      <c r="C11" s="42"/>
    </row>
    <row r="12" spans="1:33" ht="15" customHeight="1" x14ac:dyDescent="0.3">
      <c r="B12" s="48"/>
      <c r="C12" s="48"/>
      <c r="F12" s="272" t="s">
        <v>139</v>
      </c>
      <c r="G12" s="273"/>
      <c r="H12" s="273"/>
      <c r="I12" s="273"/>
      <c r="J12" s="273"/>
      <c r="K12" s="273"/>
      <c r="L12" s="273"/>
      <c r="M12" s="274"/>
    </row>
    <row r="13" spans="1:33" s="22" customFormat="1" ht="14.25" customHeight="1" x14ac:dyDescent="0.35">
      <c r="A13" s="1"/>
      <c r="B13" s="23"/>
      <c r="C13" s="23"/>
      <c r="F13" s="29" t="s">
        <v>72</v>
      </c>
      <c r="G13" s="36"/>
      <c r="H13" s="36"/>
      <c r="I13" s="36"/>
      <c r="J13" s="36"/>
      <c r="K13" s="36"/>
      <c r="L13" s="7"/>
      <c r="M13" s="44">
        <f>'Renewable Cost Report'!K30+'Renewable Cost Report'!E62</f>
        <v>365964.86</v>
      </c>
    </row>
    <row r="14" spans="1:33" x14ac:dyDescent="0.25">
      <c r="B14" s="48"/>
      <c r="C14" s="48"/>
      <c r="F14" s="29" t="s">
        <v>140</v>
      </c>
      <c r="G14" s="34"/>
      <c r="H14" s="34"/>
      <c r="I14" s="34"/>
      <c r="J14" s="34"/>
      <c r="K14" s="7"/>
      <c r="L14" s="7"/>
      <c r="M14" s="125">
        <v>58908375</v>
      </c>
    </row>
    <row r="15" spans="1:33" x14ac:dyDescent="0.25">
      <c r="F15" s="37" t="s">
        <v>73</v>
      </c>
      <c r="G15" s="35"/>
      <c r="H15" s="35"/>
      <c r="I15" s="35"/>
      <c r="J15" s="35"/>
      <c r="K15" s="31"/>
      <c r="L15" s="31"/>
      <c r="M15" s="45">
        <f>IF(REN_RetailRevenueRequirement_2016&gt;0,REN_Expenditure_Amount_2016/REN_RetailRevenueRequirement_2016,"")</f>
        <v>6.2124419490437481E-3</v>
      </c>
    </row>
    <row r="16" spans="1:33" ht="17.399999999999999" customHeight="1" x14ac:dyDescent="0.25">
      <c r="H16" s="275"/>
      <c r="I16" s="275"/>
      <c r="J16" s="275"/>
      <c r="K16" s="275"/>
      <c r="L16" s="275"/>
      <c r="M16" s="16"/>
      <c r="N16" s="11"/>
      <c r="O16" s="11"/>
    </row>
    <row r="17" spans="1:33" ht="36" customHeight="1" x14ac:dyDescent="0.3">
      <c r="A17" s="9"/>
      <c r="C17" s="54" t="s">
        <v>14</v>
      </c>
      <c r="D17" s="55" t="s">
        <v>15</v>
      </c>
      <c r="E17" s="55" t="s">
        <v>173</v>
      </c>
      <c r="F17" s="55" t="s">
        <v>174</v>
      </c>
      <c r="G17" s="55" t="s">
        <v>16</v>
      </c>
      <c r="H17" s="55" t="s">
        <v>23</v>
      </c>
      <c r="I17" s="55" t="s">
        <v>17</v>
      </c>
      <c r="J17" s="55" t="s">
        <v>172</v>
      </c>
      <c r="K17" s="55" t="s">
        <v>176</v>
      </c>
      <c r="L17" s="62" t="s">
        <v>177</v>
      </c>
      <c r="M17" s="54" t="s">
        <v>185</v>
      </c>
      <c r="N17" s="56" t="s">
        <v>186</v>
      </c>
      <c r="O17" s="11"/>
    </row>
    <row r="18" spans="1:33" ht="15" customHeight="1" x14ac:dyDescent="0.25">
      <c r="B18" s="4" t="s">
        <v>25</v>
      </c>
      <c r="C18" s="57">
        <f t="shared" ref="C18:L18" si="0">SUMIF($C40:$C60,C$17,$E40:$E60)</f>
        <v>0</v>
      </c>
      <c r="D18" s="51">
        <f t="shared" si="0"/>
        <v>0</v>
      </c>
      <c r="E18" s="51">
        <f t="shared" si="0"/>
        <v>0</v>
      </c>
      <c r="F18" s="51">
        <f t="shared" si="0"/>
        <v>0</v>
      </c>
      <c r="G18" s="51">
        <f t="shared" si="0"/>
        <v>0</v>
      </c>
      <c r="H18" s="51">
        <f t="shared" si="0"/>
        <v>0</v>
      </c>
      <c r="I18" s="51">
        <f t="shared" si="0"/>
        <v>0</v>
      </c>
      <c r="J18" s="51">
        <f t="shared" si="0"/>
        <v>0</v>
      </c>
      <c r="K18" s="51">
        <f t="shared" si="0"/>
        <v>0</v>
      </c>
      <c r="L18" s="63">
        <f t="shared" si="0"/>
        <v>0</v>
      </c>
      <c r="M18" s="57">
        <f>SUM(F40:F60)</f>
        <v>0</v>
      </c>
      <c r="N18" s="58"/>
      <c r="O18" s="77"/>
    </row>
    <row r="19" spans="1:33" ht="16.5" customHeight="1" x14ac:dyDescent="0.25">
      <c r="B19" s="4" t="s">
        <v>18</v>
      </c>
      <c r="C19" s="59"/>
      <c r="D19" s="52">
        <f t="shared" ref="D19:L19" si="1">SUMIF($D67:$D91,D$17,$G67:$G91)</f>
        <v>3795</v>
      </c>
      <c r="E19" s="52">
        <f t="shared" si="1"/>
        <v>0</v>
      </c>
      <c r="F19" s="52">
        <f t="shared" si="1"/>
        <v>0</v>
      </c>
      <c r="G19" s="52">
        <f t="shared" si="1"/>
        <v>0</v>
      </c>
      <c r="H19" s="52">
        <f t="shared" si="1"/>
        <v>0</v>
      </c>
      <c r="I19" s="52">
        <f t="shared" si="1"/>
        <v>0</v>
      </c>
      <c r="J19" s="52">
        <f t="shared" si="1"/>
        <v>0</v>
      </c>
      <c r="K19" s="52">
        <f t="shared" si="1"/>
        <v>25593</v>
      </c>
      <c r="L19" s="64">
        <f t="shared" si="1"/>
        <v>0</v>
      </c>
      <c r="M19" s="66">
        <f>SUM(H67:H91)</f>
        <v>0</v>
      </c>
      <c r="N19" s="60">
        <f>SUM(I67:I91)</f>
        <v>25593</v>
      </c>
      <c r="O19" s="11"/>
    </row>
    <row r="20" spans="1:33" ht="16.5" customHeight="1" x14ac:dyDescent="0.25">
      <c r="B20" s="5" t="s">
        <v>131</v>
      </c>
      <c r="C20" s="61">
        <f>C18</f>
        <v>0</v>
      </c>
      <c r="D20" s="53">
        <f t="shared" ref="D20:K20" si="2">D18+D19</f>
        <v>3795</v>
      </c>
      <c r="E20" s="53">
        <f t="shared" si="2"/>
        <v>0</v>
      </c>
      <c r="F20" s="53">
        <f t="shared" si="2"/>
        <v>0</v>
      </c>
      <c r="G20" s="53">
        <f t="shared" si="2"/>
        <v>0</v>
      </c>
      <c r="H20" s="53">
        <f t="shared" si="2"/>
        <v>0</v>
      </c>
      <c r="I20" s="53">
        <f t="shared" si="2"/>
        <v>0</v>
      </c>
      <c r="J20" s="53">
        <f t="shared" si="2"/>
        <v>0</v>
      </c>
      <c r="K20" s="53">
        <f t="shared" si="2"/>
        <v>25593</v>
      </c>
      <c r="L20" s="65"/>
      <c r="M20" s="61">
        <f>M18+M19</f>
        <v>0</v>
      </c>
      <c r="N20" s="60">
        <f>N19</f>
        <v>25593</v>
      </c>
      <c r="O20" s="11"/>
    </row>
    <row r="21" spans="1:33" ht="16.5" customHeight="1" x14ac:dyDescent="0.25">
      <c r="K21" s="7"/>
      <c r="L21" s="4"/>
      <c r="M21" s="17"/>
      <c r="N21" s="11"/>
      <c r="O21" s="11"/>
    </row>
    <row r="22" spans="1:33" ht="21.75" customHeight="1" x14ac:dyDescent="0.25">
      <c r="K22" s="7"/>
      <c r="L22" s="4"/>
      <c r="M22" s="17"/>
      <c r="N22" s="11"/>
      <c r="O22" s="11"/>
    </row>
    <row r="23" spans="1:33" ht="15" customHeight="1" x14ac:dyDescent="0.25">
      <c r="A23" s="28"/>
      <c r="B23" s="28"/>
      <c r="C23" s="28"/>
      <c r="D23" s="28"/>
      <c r="E23" s="28"/>
      <c r="F23" s="28"/>
      <c r="H23" s="7"/>
      <c r="I23" s="7"/>
      <c r="J23" s="7"/>
      <c r="K23" s="7"/>
      <c r="L23" s="4"/>
      <c r="M23" s="17"/>
      <c r="N23" s="11"/>
      <c r="O23" s="11"/>
    </row>
    <row r="24" spans="1:33" ht="15" customHeight="1" x14ac:dyDescent="0.25"/>
    <row r="25" spans="1:33" s="10" customFormat="1" ht="13" x14ac:dyDescent="0.3">
      <c r="AG25" s="1"/>
    </row>
    <row r="26" spans="1:33" ht="15" customHeight="1" x14ac:dyDescent="0.3">
      <c r="AG26" s="10"/>
    </row>
    <row r="27" spans="1:33" ht="15" customHeight="1" x14ac:dyDescent="0.3">
      <c r="AG27" s="10"/>
    </row>
    <row r="28" spans="1:33" ht="15" customHeight="1" x14ac:dyDescent="0.3">
      <c r="AG28" s="10"/>
    </row>
    <row r="29" spans="1:33" ht="15" customHeight="1" x14ac:dyDescent="0.3">
      <c r="AG29" s="10"/>
    </row>
    <row r="30" spans="1:33" ht="15" customHeight="1" x14ac:dyDescent="0.3">
      <c r="AG30" s="10"/>
    </row>
    <row r="31" spans="1:33" ht="15" customHeight="1" x14ac:dyDescent="0.3">
      <c r="AG31" s="10"/>
    </row>
    <row r="32" spans="1:33" ht="15" customHeight="1" x14ac:dyDescent="0.3">
      <c r="AG32" s="10"/>
    </row>
    <row r="33" spans="1:33" ht="15" customHeight="1" x14ac:dyDescent="0.25"/>
    <row r="34" spans="1:33" ht="15" customHeight="1" x14ac:dyDescent="0.25"/>
    <row r="35" spans="1:33" ht="15" customHeight="1" x14ac:dyDescent="0.25"/>
    <row r="36" spans="1:33" ht="16.5" customHeight="1" x14ac:dyDescent="0.3">
      <c r="A36" s="329" t="s">
        <v>22</v>
      </c>
      <c r="B36" s="6"/>
      <c r="C36" s="6"/>
      <c r="D36" s="9" t="s">
        <v>4</v>
      </c>
      <c r="E36" s="322" t="str">
        <f>B5</f>
        <v>PUD #1 of Clallam County</v>
      </c>
      <c r="F36" s="323"/>
      <c r="G36" s="324"/>
    </row>
    <row r="37" spans="1:33" ht="15" customHeight="1" x14ac:dyDescent="0.3">
      <c r="A37" s="329"/>
      <c r="D37" s="9" t="s">
        <v>13</v>
      </c>
      <c r="E37" s="269">
        <v>2016</v>
      </c>
      <c r="F37" s="270"/>
      <c r="G37" s="271"/>
    </row>
    <row r="38" spans="1:33" ht="15" customHeight="1" x14ac:dyDescent="0.3">
      <c r="D38" s="9"/>
      <c r="E38" s="42"/>
      <c r="F38" s="8"/>
      <c r="G38" s="8"/>
    </row>
    <row r="39" spans="1:33" s="10" customFormat="1" ht="52.5" customHeight="1" x14ac:dyDescent="0.3">
      <c r="A39" s="27" t="s">
        <v>19</v>
      </c>
      <c r="B39" s="67" t="s">
        <v>31</v>
      </c>
      <c r="C39" s="49" t="s">
        <v>175</v>
      </c>
      <c r="D39" s="68" t="s">
        <v>178</v>
      </c>
      <c r="E39" s="49" t="s">
        <v>190</v>
      </c>
      <c r="F39" s="49" t="s">
        <v>189</v>
      </c>
      <c r="G39" s="332" t="s">
        <v>184</v>
      </c>
      <c r="H39" s="332"/>
      <c r="I39" s="332"/>
      <c r="J39" s="332"/>
      <c r="K39" s="332"/>
      <c r="L39" s="14"/>
      <c r="M39" s="14"/>
      <c r="N39" s="14"/>
      <c r="AG39" s="7"/>
    </row>
    <row r="40" spans="1:33" ht="15" customHeight="1" x14ac:dyDescent="0.25">
      <c r="A40" s="126"/>
      <c r="B40" s="127"/>
      <c r="C40" s="127"/>
      <c r="D40" s="82" t="s">
        <v>179</v>
      </c>
      <c r="E40" s="128"/>
      <c r="F40" s="51">
        <f>IF(D40="Yes",0.2*E40,0)</f>
        <v>0</v>
      </c>
      <c r="G40" s="313"/>
      <c r="H40" s="314"/>
      <c r="I40" s="314"/>
      <c r="J40" s="314"/>
      <c r="K40" s="315"/>
      <c r="L40" s="14"/>
      <c r="M40" s="14"/>
      <c r="N40" s="14"/>
    </row>
    <row r="41" spans="1:33" ht="15" customHeight="1" x14ac:dyDescent="0.25">
      <c r="A41" s="129"/>
      <c r="B41" s="130"/>
      <c r="C41" s="130"/>
      <c r="D41" s="82" t="s">
        <v>179</v>
      </c>
      <c r="E41" s="131"/>
      <c r="F41" s="69">
        <f t="shared" ref="F41:F60" si="3">IF(D41="Yes",0.2*E41,0)</f>
        <v>0</v>
      </c>
      <c r="G41" s="310"/>
      <c r="H41" s="311"/>
      <c r="I41" s="311"/>
      <c r="J41" s="311"/>
      <c r="K41" s="312"/>
      <c r="L41" s="14"/>
      <c r="M41" s="14"/>
      <c r="N41" s="14"/>
    </row>
    <row r="42" spans="1:33" ht="15" customHeight="1" x14ac:dyDescent="0.25">
      <c r="A42" s="129"/>
      <c r="B42" s="130"/>
      <c r="C42" s="130"/>
      <c r="D42" s="82" t="s">
        <v>179</v>
      </c>
      <c r="E42" s="131"/>
      <c r="F42" s="69">
        <f t="shared" si="3"/>
        <v>0</v>
      </c>
      <c r="G42" s="141"/>
      <c r="H42" s="142"/>
      <c r="I42" s="142"/>
      <c r="J42" s="142"/>
      <c r="K42" s="143"/>
      <c r="L42" s="14"/>
      <c r="M42" s="14"/>
      <c r="N42" s="14"/>
    </row>
    <row r="43" spans="1:33" ht="15" customHeight="1" x14ac:dyDescent="0.25">
      <c r="A43" s="132"/>
      <c r="B43" s="133"/>
      <c r="C43" s="133"/>
      <c r="D43" s="82" t="s">
        <v>179</v>
      </c>
      <c r="E43" s="131"/>
      <c r="F43" s="69">
        <f t="shared" si="3"/>
        <v>0</v>
      </c>
      <c r="G43" s="310"/>
      <c r="H43" s="311"/>
      <c r="I43" s="311"/>
      <c r="J43" s="311"/>
      <c r="K43" s="312"/>
      <c r="L43" s="14"/>
      <c r="M43" s="14"/>
      <c r="N43" s="14"/>
    </row>
    <row r="44" spans="1:33" ht="15" customHeight="1" x14ac:dyDescent="0.3">
      <c r="A44" s="134"/>
      <c r="B44" s="135"/>
      <c r="C44" s="135"/>
      <c r="D44" s="82" t="s">
        <v>179</v>
      </c>
      <c r="E44" s="131"/>
      <c r="F44" s="69">
        <f t="shared" si="3"/>
        <v>0</v>
      </c>
      <c r="G44" s="310"/>
      <c r="H44" s="311"/>
      <c r="I44" s="311"/>
      <c r="J44" s="311"/>
      <c r="K44" s="312"/>
      <c r="L44" s="14"/>
      <c r="M44" s="14"/>
      <c r="N44" s="14"/>
    </row>
    <row r="45" spans="1:33" ht="15" customHeight="1" x14ac:dyDescent="0.3">
      <c r="A45" s="136"/>
      <c r="B45" s="137"/>
      <c r="C45" s="137"/>
      <c r="D45" s="82" t="s">
        <v>179</v>
      </c>
      <c r="E45" s="131"/>
      <c r="F45" s="69">
        <f t="shared" si="3"/>
        <v>0</v>
      </c>
      <c r="G45" s="310"/>
      <c r="H45" s="311"/>
      <c r="I45" s="311"/>
      <c r="J45" s="311"/>
      <c r="K45" s="312"/>
      <c r="L45" s="14"/>
      <c r="M45" s="14"/>
      <c r="N45" s="14"/>
    </row>
    <row r="46" spans="1:33" ht="15" customHeight="1" x14ac:dyDescent="0.3">
      <c r="A46" s="136"/>
      <c r="B46" s="137"/>
      <c r="C46" s="137"/>
      <c r="D46" s="82" t="s">
        <v>179</v>
      </c>
      <c r="E46" s="131"/>
      <c r="F46" s="69">
        <f t="shared" si="3"/>
        <v>0</v>
      </c>
      <c r="G46" s="310"/>
      <c r="H46" s="311"/>
      <c r="I46" s="311"/>
      <c r="J46" s="311"/>
      <c r="K46" s="312"/>
      <c r="L46" s="14"/>
      <c r="M46" s="14"/>
      <c r="N46" s="14"/>
    </row>
    <row r="47" spans="1:33" ht="15" customHeight="1" x14ac:dyDescent="0.3">
      <c r="A47" s="136"/>
      <c r="B47" s="137"/>
      <c r="C47" s="137"/>
      <c r="D47" s="82" t="s">
        <v>179</v>
      </c>
      <c r="E47" s="131"/>
      <c r="F47" s="69">
        <f t="shared" si="3"/>
        <v>0</v>
      </c>
      <c r="G47" s="310"/>
      <c r="H47" s="311"/>
      <c r="I47" s="311"/>
      <c r="J47" s="311"/>
      <c r="K47" s="312"/>
      <c r="L47" s="14"/>
      <c r="M47" s="14"/>
      <c r="N47" s="14"/>
    </row>
    <row r="48" spans="1:33" ht="15" customHeight="1" x14ac:dyDescent="0.3">
      <c r="A48" s="136"/>
      <c r="B48" s="137"/>
      <c r="C48" s="137"/>
      <c r="D48" s="82" t="s">
        <v>179</v>
      </c>
      <c r="E48" s="131"/>
      <c r="F48" s="69">
        <f t="shared" si="3"/>
        <v>0</v>
      </c>
      <c r="G48" s="310"/>
      <c r="H48" s="311"/>
      <c r="I48" s="311"/>
      <c r="J48" s="311"/>
      <c r="K48" s="312"/>
      <c r="L48" s="14"/>
      <c r="M48" s="14"/>
      <c r="N48" s="14"/>
    </row>
    <row r="49" spans="1:14" ht="15" customHeight="1" x14ac:dyDescent="0.3">
      <c r="A49" s="136"/>
      <c r="B49" s="137"/>
      <c r="C49" s="137"/>
      <c r="D49" s="82" t="s">
        <v>179</v>
      </c>
      <c r="E49" s="131"/>
      <c r="F49" s="69">
        <f t="shared" si="3"/>
        <v>0</v>
      </c>
      <c r="G49" s="310"/>
      <c r="H49" s="311"/>
      <c r="I49" s="311"/>
      <c r="J49" s="311"/>
      <c r="K49" s="312"/>
      <c r="L49" s="14"/>
      <c r="M49" s="14"/>
      <c r="N49" s="14"/>
    </row>
    <row r="50" spans="1:14" ht="15" customHeight="1" x14ac:dyDescent="0.3">
      <c r="A50" s="136"/>
      <c r="B50" s="137"/>
      <c r="C50" s="137"/>
      <c r="D50" s="82" t="s">
        <v>179</v>
      </c>
      <c r="E50" s="131"/>
      <c r="F50" s="69">
        <f t="shared" si="3"/>
        <v>0</v>
      </c>
      <c r="G50" s="310"/>
      <c r="H50" s="311"/>
      <c r="I50" s="311"/>
      <c r="J50" s="311"/>
      <c r="K50" s="312"/>
      <c r="L50" s="14"/>
      <c r="M50" s="14"/>
      <c r="N50" s="14"/>
    </row>
    <row r="51" spans="1:14" ht="15" customHeight="1" x14ac:dyDescent="0.3">
      <c r="A51" s="136"/>
      <c r="B51" s="137"/>
      <c r="C51" s="137"/>
      <c r="D51" s="82" t="s">
        <v>179</v>
      </c>
      <c r="E51" s="131"/>
      <c r="F51" s="69">
        <f t="shared" si="3"/>
        <v>0</v>
      </c>
      <c r="G51" s="310"/>
      <c r="H51" s="311"/>
      <c r="I51" s="311"/>
      <c r="J51" s="311"/>
      <c r="K51" s="312"/>
      <c r="L51" s="14"/>
      <c r="M51" s="14"/>
      <c r="N51" s="14"/>
    </row>
    <row r="52" spans="1:14" ht="15" customHeight="1" x14ac:dyDescent="0.3">
      <c r="A52" s="136"/>
      <c r="B52" s="137"/>
      <c r="C52" s="137"/>
      <c r="D52" s="82" t="s">
        <v>179</v>
      </c>
      <c r="E52" s="131"/>
      <c r="F52" s="69">
        <f t="shared" si="3"/>
        <v>0</v>
      </c>
      <c r="G52" s="310"/>
      <c r="H52" s="311"/>
      <c r="I52" s="311"/>
      <c r="J52" s="311"/>
      <c r="K52" s="312"/>
      <c r="L52" s="14"/>
      <c r="M52" s="14"/>
      <c r="N52" s="14"/>
    </row>
    <row r="53" spans="1:14" ht="15" customHeight="1" x14ac:dyDescent="0.3">
      <c r="A53" s="136"/>
      <c r="B53" s="137"/>
      <c r="C53" s="137"/>
      <c r="D53" s="82" t="s">
        <v>179</v>
      </c>
      <c r="E53" s="131"/>
      <c r="F53" s="69">
        <f t="shared" si="3"/>
        <v>0</v>
      </c>
      <c r="G53" s="310"/>
      <c r="H53" s="311"/>
      <c r="I53" s="311"/>
      <c r="J53" s="311"/>
      <c r="K53" s="312"/>
      <c r="L53" s="14"/>
      <c r="M53" s="14"/>
      <c r="N53" s="14"/>
    </row>
    <row r="54" spans="1:14" ht="15" customHeight="1" x14ac:dyDescent="0.3">
      <c r="A54" s="136"/>
      <c r="B54" s="137"/>
      <c r="C54" s="137"/>
      <c r="D54" s="82" t="s">
        <v>179</v>
      </c>
      <c r="E54" s="131"/>
      <c r="F54" s="69">
        <f t="shared" si="3"/>
        <v>0</v>
      </c>
      <c r="G54" s="310"/>
      <c r="H54" s="311"/>
      <c r="I54" s="311"/>
      <c r="J54" s="311"/>
      <c r="K54" s="312"/>
      <c r="L54" s="14"/>
      <c r="M54" s="14"/>
      <c r="N54" s="14"/>
    </row>
    <row r="55" spans="1:14" ht="15" customHeight="1" x14ac:dyDescent="0.3">
      <c r="A55" s="136"/>
      <c r="B55" s="137"/>
      <c r="C55" s="137"/>
      <c r="D55" s="82" t="s">
        <v>179</v>
      </c>
      <c r="E55" s="131"/>
      <c r="F55" s="69">
        <f t="shared" si="3"/>
        <v>0</v>
      </c>
      <c r="G55" s="310"/>
      <c r="H55" s="311"/>
      <c r="I55" s="311"/>
      <c r="J55" s="311"/>
      <c r="K55" s="312"/>
      <c r="L55" s="14"/>
      <c r="M55" s="14"/>
      <c r="N55" s="14"/>
    </row>
    <row r="56" spans="1:14" ht="15" customHeight="1" x14ac:dyDescent="0.3">
      <c r="A56" s="136"/>
      <c r="B56" s="137"/>
      <c r="C56" s="137"/>
      <c r="D56" s="82" t="s">
        <v>179</v>
      </c>
      <c r="E56" s="131"/>
      <c r="F56" s="69">
        <f t="shared" si="3"/>
        <v>0</v>
      </c>
      <c r="G56" s="310"/>
      <c r="H56" s="311"/>
      <c r="I56" s="311"/>
      <c r="J56" s="311"/>
      <c r="K56" s="312"/>
      <c r="L56" s="14"/>
      <c r="M56" s="14"/>
      <c r="N56" s="14"/>
    </row>
    <row r="57" spans="1:14" ht="15" customHeight="1" x14ac:dyDescent="0.3">
      <c r="A57" s="136"/>
      <c r="B57" s="137"/>
      <c r="C57" s="137"/>
      <c r="D57" s="82" t="s">
        <v>179</v>
      </c>
      <c r="E57" s="131"/>
      <c r="F57" s="69">
        <f t="shared" si="3"/>
        <v>0</v>
      </c>
      <c r="G57" s="310"/>
      <c r="H57" s="311"/>
      <c r="I57" s="311"/>
      <c r="J57" s="311"/>
      <c r="K57" s="312"/>
      <c r="L57" s="14"/>
      <c r="M57" s="14"/>
      <c r="N57" s="14"/>
    </row>
    <row r="58" spans="1:14" ht="15" customHeight="1" x14ac:dyDescent="0.3">
      <c r="A58" s="136"/>
      <c r="B58" s="137"/>
      <c r="C58" s="137"/>
      <c r="D58" s="82" t="s">
        <v>179</v>
      </c>
      <c r="E58" s="131"/>
      <c r="F58" s="69">
        <f t="shared" si="3"/>
        <v>0</v>
      </c>
      <c r="G58" s="310"/>
      <c r="H58" s="311"/>
      <c r="I58" s="311"/>
      <c r="J58" s="311"/>
      <c r="K58" s="312"/>
      <c r="L58" s="14"/>
      <c r="M58" s="14"/>
      <c r="N58" s="14"/>
    </row>
    <row r="59" spans="1:14" ht="15" customHeight="1" x14ac:dyDescent="0.3">
      <c r="A59" s="136"/>
      <c r="B59" s="137"/>
      <c r="C59" s="137"/>
      <c r="D59" s="82" t="s">
        <v>179</v>
      </c>
      <c r="E59" s="131"/>
      <c r="F59" s="69">
        <f t="shared" si="3"/>
        <v>0</v>
      </c>
      <c r="G59" s="310"/>
      <c r="H59" s="311"/>
      <c r="I59" s="311"/>
      <c r="J59" s="311"/>
      <c r="K59" s="312"/>
      <c r="L59" s="14"/>
      <c r="M59" s="14"/>
      <c r="N59" s="14"/>
    </row>
    <row r="60" spans="1:14" ht="15" customHeight="1" x14ac:dyDescent="0.3">
      <c r="A60" s="138"/>
      <c r="B60" s="139"/>
      <c r="C60" s="139"/>
      <c r="D60" s="140" t="s">
        <v>179</v>
      </c>
      <c r="E60" s="80"/>
      <c r="F60" s="70">
        <f t="shared" si="3"/>
        <v>0</v>
      </c>
      <c r="G60" s="316"/>
      <c r="H60" s="317"/>
      <c r="I60" s="317"/>
      <c r="J60" s="317"/>
      <c r="K60" s="318"/>
      <c r="L60" s="14"/>
      <c r="M60" s="14"/>
      <c r="N60" s="14"/>
    </row>
    <row r="61" spans="1:14" ht="15" customHeight="1" x14ac:dyDescent="0.25">
      <c r="D61" s="7"/>
      <c r="E61" s="7"/>
      <c r="F61" s="7"/>
      <c r="G61" s="7"/>
      <c r="H61" s="7"/>
      <c r="I61" s="7"/>
      <c r="J61" s="7"/>
      <c r="K61" s="7"/>
      <c r="L61" s="7"/>
      <c r="M61" s="7"/>
    </row>
    <row r="62" spans="1:14" ht="17.25" customHeight="1" x14ac:dyDescent="0.3">
      <c r="A62" s="329" t="s">
        <v>18</v>
      </c>
      <c r="B62" s="329"/>
      <c r="C62" s="6"/>
      <c r="D62" s="9" t="s">
        <v>4</v>
      </c>
      <c r="E62" s="322" t="str">
        <f>B5</f>
        <v>PUD #1 of Clallam County</v>
      </c>
      <c r="F62" s="323"/>
      <c r="G62" s="324"/>
    </row>
    <row r="63" spans="1:14" ht="15" customHeight="1" x14ac:dyDescent="0.3">
      <c r="A63" s="329"/>
      <c r="B63" s="329"/>
      <c r="D63" s="9" t="s">
        <v>13</v>
      </c>
      <c r="E63" s="269">
        <v>2016</v>
      </c>
      <c r="F63" s="270"/>
      <c r="G63" s="271"/>
    </row>
    <row r="64" spans="1:14" ht="15" customHeight="1" x14ac:dyDescent="0.3">
      <c r="A64" s="9"/>
      <c r="B64" s="9"/>
      <c r="C64" s="9"/>
      <c r="D64" s="9"/>
      <c r="G64" s="13"/>
      <c r="H64" s="7"/>
    </row>
    <row r="65" spans="1:33" s="10" customFormat="1" ht="38.25" customHeight="1" x14ac:dyDescent="0.3">
      <c r="A65" s="9"/>
      <c r="B65" s="330" t="s">
        <v>31</v>
      </c>
      <c r="C65" s="330" t="s">
        <v>129</v>
      </c>
      <c r="D65" s="319" t="s">
        <v>175</v>
      </c>
      <c r="E65" s="319" t="s">
        <v>178</v>
      </c>
      <c r="F65" s="319" t="s">
        <v>181</v>
      </c>
      <c r="G65" s="76" t="s">
        <v>183</v>
      </c>
      <c r="H65" s="76" t="s">
        <v>180</v>
      </c>
      <c r="I65" s="76" t="s">
        <v>182</v>
      </c>
      <c r="J65" s="321" t="s">
        <v>184</v>
      </c>
      <c r="K65" s="321"/>
      <c r="L65" s="321"/>
      <c r="M65" s="321"/>
      <c r="N65" s="14"/>
      <c r="O65" s="14"/>
      <c r="AG65" s="7"/>
    </row>
    <row r="66" spans="1:33" ht="15" customHeight="1" x14ac:dyDescent="0.3">
      <c r="A66" s="27" t="s">
        <v>19</v>
      </c>
      <c r="B66" s="331"/>
      <c r="C66" s="331"/>
      <c r="D66" s="320"/>
      <c r="E66" s="320"/>
      <c r="F66" s="320"/>
      <c r="G66" s="12" t="s">
        <v>130</v>
      </c>
      <c r="H66" s="50" t="s">
        <v>32</v>
      </c>
      <c r="I66" s="50" t="s">
        <v>32</v>
      </c>
      <c r="J66" s="321"/>
      <c r="K66" s="321"/>
      <c r="L66" s="321"/>
      <c r="M66" s="321"/>
      <c r="N66" s="14"/>
      <c r="O66" s="14"/>
      <c r="AG66" s="10"/>
    </row>
    <row r="67" spans="1:33" ht="15" customHeight="1" x14ac:dyDescent="0.25">
      <c r="A67" s="144" t="s">
        <v>206</v>
      </c>
      <c r="B67" s="145" t="s">
        <v>207</v>
      </c>
      <c r="C67" s="264">
        <v>2015</v>
      </c>
      <c r="D67" s="127" t="s">
        <v>15</v>
      </c>
      <c r="E67" s="82" t="s">
        <v>179</v>
      </c>
      <c r="F67" s="82" t="s">
        <v>179</v>
      </c>
      <c r="G67" s="128">
        <v>434</v>
      </c>
      <c r="H67" s="51">
        <f>IF(E67="Yes",0.2*G67,0)</f>
        <v>0</v>
      </c>
      <c r="I67" s="51">
        <f>IF(F67="Yes",G67,0)</f>
        <v>0</v>
      </c>
      <c r="J67" s="313"/>
      <c r="K67" s="314"/>
      <c r="L67" s="314"/>
      <c r="M67" s="315"/>
      <c r="N67" s="14"/>
      <c r="O67" s="14"/>
    </row>
    <row r="68" spans="1:33" ht="15" customHeight="1" x14ac:dyDescent="0.25">
      <c r="A68" s="146" t="s">
        <v>209</v>
      </c>
      <c r="B68" s="147" t="s">
        <v>208</v>
      </c>
      <c r="C68" s="264">
        <v>2015</v>
      </c>
      <c r="D68" s="127" t="s">
        <v>15</v>
      </c>
      <c r="E68" s="82" t="s">
        <v>179</v>
      </c>
      <c r="F68" s="82" t="s">
        <v>179</v>
      </c>
      <c r="G68" s="149">
        <v>381</v>
      </c>
      <c r="H68" s="154">
        <f t="shared" ref="H68:H90" si="4">IF(E68="Yes",0.2*G68,0)</f>
        <v>0</v>
      </c>
      <c r="I68" s="154">
        <f>IF(F68="Yes",G68,0)</f>
        <v>0</v>
      </c>
      <c r="J68" s="310"/>
      <c r="K68" s="311"/>
      <c r="L68" s="311"/>
      <c r="M68" s="312"/>
      <c r="N68" s="14"/>
      <c r="O68" s="14"/>
    </row>
    <row r="69" spans="1:33" ht="15" customHeight="1" x14ac:dyDescent="0.25">
      <c r="A69" s="146" t="s">
        <v>210</v>
      </c>
      <c r="B69" s="147" t="s">
        <v>211</v>
      </c>
      <c r="C69" s="264">
        <v>2015</v>
      </c>
      <c r="D69" s="127" t="s">
        <v>15</v>
      </c>
      <c r="E69" s="82" t="s">
        <v>179</v>
      </c>
      <c r="F69" s="82" t="s">
        <v>179</v>
      </c>
      <c r="G69" s="149">
        <v>1438</v>
      </c>
      <c r="H69" s="154">
        <f t="shared" si="4"/>
        <v>0</v>
      </c>
      <c r="I69" s="154">
        <f t="shared" ref="I69:I91" si="5">IF(F69="Yes",G69,0)</f>
        <v>0</v>
      </c>
      <c r="J69" s="310"/>
      <c r="K69" s="311"/>
      <c r="L69" s="311"/>
      <c r="M69" s="312"/>
      <c r="N69" s="14"/>
      <c r="O69" s="14"/>
    </row>
    <row r="70" spans="1:33" ht="15" customHeight="1" x14ac:dyDescent="0.25">
      <c r="A70" s="146" t="s">
        <v>212</v>
      </c>
      <c r="B70" s="147" t="s">
        <v>213</v>
      </c>
      <c r="C70" s="264">
        <v>2015</v>
      </c>
      <c r="D70" s="127" t="s">
        <v>15</v>
      </c>
      <c r="E70" s="82" t="s">
        <v>179</v>
      </c>
      <c r="F70" s="82" t="s">
        <v>179</v>
      </c>
      <c r="G70" s="149">
        <v>1035</v>
      </c>
      <c r="H70" s="154">
        <f t="shared" si="4"/>
        <v>0</v>
      </c>
      <c r="I70" s="154">
        <f t="shared" si="5"/>
        <v>0</v>
      </c>
      <c r="J70" s="310"/>
      <c r="K70" s="311"/>
      <c r="L70" s="311"/>
      <c r="M70" s="312"/>
      <c r="N70" s="14"/>
      <c r="O70" s="14"/>
    </row>
    <row r="71" spans="1:33" ht="15" customHeight="1" x14ac:dyDescent="0.25">
      <c r="A71" s="146" t="s">
        <v>214</v>
      </c>
      <c r="B71" s="147" t="s">
        <v>215</v>
      </c>
      <c r="C71" s="264">
        <v>2015</v>
      </c>
      <c r="D71" s="127" t="s">
        <v>15</v>
      </c>
      <c r="E71" s="82" t="s">
        <v>179</v>
      </c>
      <c r="F71" s="82" t="s">
        <v>179</v>
      </c>
      <c r="G71" s="149">
        <v>507</v>
      </c>
      <c r="H71" s="154">
        <f t="shared" si="4"/>
        <v>0</v>
      </c>
      <c r="I71" s="154">
        <f t="shared" si="5"/>
        <v>0</v>
      </c>
      <c r="J71" s="310"/>
      <c r="K71" s="311"/>
      <c r="L71" s="311"/>
      <c r="M71" s="312"/>
      <c r="N71" s="14"/>
      <c r="O71" s="14"/>
    </row>
    <row r="72" spans="1:33" ht="15" customHeight="1" x14ac:dyDescent="0.3">
      <c r="A72" s="146" t="s">
        <v>216</v>
      </c>
      <c r="B72" s="147" t="s">
        <v>217</v>
      </c>
      <c r="C72" s="264">
        <v>2015</v>
      </c>
      <c r="D72" s="137" t="s">
        <v>176</v>
      </c>
      <c r="E72" s="82" t="s">
        <v>179</v>
      </c>
      <c r="F72" s="82" t="s">
        <v>218</v>
      </c>
      <c r="G72" s="149">
        <v>11173</v>
      </c>
      <c r="H72" s="154">
        <f t="shared" si="4"/>
        <v>0</v>
      </c>
      <c r="I72" s="154">
        <f t="shared" si="5"/>
        <v>11173</v>
      </c>
      <c r="J72" s="310"/>
      <c r="K72" s="311"/>
      <c r="L72" s="311"/>
      <c r="M72" s="312"/>
      <c r="N72" s="14"/>
      <c r="O72" s="14"/>
    </row>
    <row r="73" spans="1:33" ht="15" customHeight="1" x14ac:dyDescent="0.3">
      <c r="A73" s="146" t="s">
        <v>219</v>
      </c>
      <c r="B73" s="147" t="s">
        <v>220</v>
      </c>
      <c r="C73" s="265">
        <v>2016</v>
      </c>
      <c r="D73" s="137" t="s">
        <v>176</v>
      </c>
      <c r="E73" s="82" t="s">
        <v>179</v>
      </c>
      <c r="F73" s="82" t="s">
        <v>218</v>
      </c>
      <c r="G73" s="149">
        <v>9298</v>
      </c>
      <c r="H73" s="154">
        <f t="shared" si="4"/>
        <v>0</v>
      </c>
      <c r="I73" s="154">
        <f t="shared" si="5"/>
        <v>9298</v>
      </c>
      <c r="J73" s="310"/>
      <c r="K73" s="311"/>
      <c r="L73" s="311"/>
      <c r="M73" s="312"/>
      <c r="N73" s="14"/>
      <c r="O73" s="14"/>
    </row>
    <row r="74" spans="1:33" ht="15" customHeight="1" x14ac:dyDescent="0.3">
      <c r="A74" s="146" t="s">
        <v>221</v>
      </c>
      <c r="B74" s="147" t="s">
        <v>222</v>
      </c>
      <c r="C74" s="265">
        <v>2016</v>
      </c>
      <c r="D74" s="137" t="s">
        <v>176</v>
      </c>
      <c r="E74" s="82" t="s">
        <v>179</v>
      </c>
      <c r="F74" s="213" t="s">
        <v>218</v>
      </c>
      <c r="G74" s="149">
        <v>5122</v>
      </c>
      <c r="H74" s="154">
        <f t="shared" si="4"/>
        <v>0</v>
      </c>
      <c r="I74" s="154">
        <f t="shared" si="5"/>
        <v>5122</v>
      </c>
      <c r="J74" s="310"/>
      <c r="K74" s="311"/>
      <c r="L74" s="311"/>
      <c r="M74" s="312"/>
      <c r="N74" s="14"/>
      <c r="O74" s="14"/>
    </row>
    <row r="75" spans="1:33" ht="15" customHeight="1" x14ac:dyDescent="0.3">
      <c r="A75" s="146"/>
      <c r="B75" s="147"/>
      <c r="C75" s="148"/>
      <c r="D75" s="137"/>
      <c r="E75" s="82" t="s">
        <v>179</v>
      </c>
      <c r="F75" s="82" t="s">
        <v>179</v>
      </c>
      <c r="G75" s="149"/>
      <c r="H75" s="154">
        <f t="shared" si="4"/>
        <v>0</v>
      </c>
      <c r="I75" s="154">
        <f t="shared" si="5"/>
        <v>0</v>
      </c>
      <c r="J75" s="310"/>
      <c r="K75" s="311"/>
      <c r="L75" s="311"/>
      <c r="M75" s="312"/>
      <c r="N75" s="14"/>
      <c r="O75" s="14"/>
    </row>
    <row r="76" spans="1:33" ht="15" customHeight="1" x14ac:dyDescent="0.3">
      <c r="A76" s="146"/>
      <c r="B76" s="147"/>
      <c r="C76" s="148"/>
      <c r="D76" s="137"/>
      <c r="E76" s="82" t="s">
        <v>179</v>
      </c>
      <c r="F76" s="82" t="s">
        <v>179</v>
      </c>
      <c r="G76" s="149"/>
      <c r="H76" s="154">
        <f t="shared" si="4"/>
        <v>0</v>
      </c>
      <c r="I76" s="154">
        <f t="shared" si="5"/>
        <v>0</v>
      </c>
      <c r="J76" s="310"/>
      <c r="K76" s="311"/>
      <c r="L76" s="311"/>
      <c r="M76" s="312"/>
      <c r="N76" s="14"/>
      <c r="O76" s="14"/>
    </row>
    <row r="77" spans="1:33" ht="15" customHeight="1" x14ac:dyDescent="0.3">
      <c r="A77" s="146"/>
      <c r="B77" s="147"/>
      <c r="C77" s="148"/>
      <c r="D77" s="137"/>
      <c r="E77" s="82" t="s">
        <v>179</v>
      </c>
      <c r="F77" s="82" t="s">
        <v>179</v>
      </c>
      <c r="G77" s="149"/>
      <c r="H77" s="154">
        <f t="shared" si="4"/>
        <v>0</v>
      </c>
      <c r="I77" s="154">
        <f t="shared" si="5"/>
        <v>0</v>
      </c>
      <c r="J77" s="310"/>
      <c r="K77" s="311"/>
      <c r="L77" s="311"/>
      <c r="M77" s="312"/>
      <c r="N77" s="14"/>
      <c r="O77" s="14"/>
    </row>
    <row r="78" spans="1:33" ht="15" customHeight="1" x14ac:dyDescent="0.3">
      <c r="A78" s="146"/>
      <c r="B78" s="147"/>
      <c r="C78" s="148"/>
      <c r="D78" s="137"/>
      <c r="E78" s="82" t="s">
        <v>179</v>
      </c>
      <c r="F78" s="82" t="s">
        <v>179</v>
      </c>
      <c r="G78" s="149"/>
      <c r="H78" s="154">
        <f t="shared" si="4"/>
        <v>0</v>
      </c>
      <c r="I78" s="154">
        <f t="shared" si="5"/>
        <v>0</v>
      </c>
      <c r="J78" s="310"/>
      <c r="K78" s="311"/>
      <c r="L78" s="311"/>
      <c r="M78" s="312"/>
      <c r="N78" s="14"/>
      <c r="O78" s="14"/>
    </row>
    <row r="79" spans="1:33" ht="15" customHeight="1" x14ac:dyDescent="0.3">
      <c r="A79" s="146"/>
      <c r="B79" s="147"/>
      <c r="C79" s="148"/>
      <c r="D79" s="137"/>
      <c r="E79" s="82" t="s">
        <v>179</v>
      </c>
      <c r="F79" s="82" t="s">
        <v>179</v>
      </c>
      <c r="G79" s="149"/>
      <c r="H79" s="154">
        <f t="shared" si="4"/>
        <v>0</v>
      </c>
      <c r="I79" s="154">
        <f t="shared" si="5"/>
        <v>0</v>
      </c>
      <c r="J79" s="310"/>
      <c r="K79" s="311"/>
      <c r="L79" s="311"/>
      <c r="M79" s="312"/>
      <c r="N79" s="14"/>
      <c r="O79" s="14"/>
    </row>
    <row r="80" spans="1:33" ht="15" customHeight="1" x14ac:dyDescent="0.3">
      <c r="A80" s="146"/>
      <c r="B80" s="147"/>
      <c r="C80" s="148"/>
      <c r="D80" s="137"/>
      <c r="E80" s="82" t="s">
        <v>179</v>
      </c>
      <c r="F80" s="82" t="s">
        <v>179</v>
      </c>
      <c r="G80" s="149"/>
      <c r="H80" s="154">
        <f t="shared" si="4"/>
        <v>0</v>
      </c>
      <c r="I80" s="154">
        <f t="shared" si="5"/>
        <v>0</v>
      </c>
      <c r="J80" s="310"/>
      <c r="K80" s="311"/>
      <c r="L80" s="311"/>
      <c r="M80" s="312"/>
      <c r="N80" s="14"/>
      <c r="O80" s="14"/>
    </row>
    <row r="81" spans="1:15" ht="15" customHeight="1" x14ac:dyDescent="0.3">
      <c r="A81" s="146"/>
      <c r="B81" s="147"/>
      <c r="C81" s="148"/>
      <c r="D81" s="137"/>
      <c r="E81" s="82" t="s">
        <v>179</v>
      </c>
      <c r="F81" s="82" t="s">
        <v>179</v>
      </c>
      <c r="G81" s="149"/>
      <c r="H81" s="154">
        <f t="shared" si="4"/>
        <v>0</v>
      </c>
      <c r="I81" s="154">
        <f t="shared" si="5"/>
        <v>0</v>
      </c>
      <c r="J81" s="310"/>
      <c r="K81" s="311"/>
      <c r="L81" s="311"/>
      <c r="M81" s="312"/>
      <c r="N81" s="14"/>
      <c r="O81" s="14"/>
    </row>
    <row r="82" spans="1:15" ht="15" customHeight="1" x14ac:dyDescent="0.3">
      <c r="A82" s="146"/>
      <c r="B82" s="147"/>
      <c r="C82" s="148"/>
      <c r="D82" s="137"/>
      <c r="E82" s="82" t="s">
        <v>179</v>
      </c>
      <c r="F82" s="82" t="s">
        <v>179</v>
      </c>
      <c r="G82" s="149"/>
      <c r="H82" s="154">
        <f t="shared" si="4"/>
        <v>0</v>
      </c>
      <c r="I82" s="154">
        <f t="shared" si="5"/>
        <v>0</v>
      </c>
      <c r="J82" s="310"/>
      <c r="K82" s="311"/>
      <c r="L82" s="311"/>
      <c r="M82" s="312"/>
      <c r="N82" s="14"/>
      <c r="O82" s="14"/>
    </row>
    <row r="83" spans="1:15" ht="15" customHeight="1" x14ac:dyDescent="0.3">
      <c r="A83" s="146"/>
      <c r="B83" s="147"/>
      <c r="C83" s="148"/>
      <c r="D83" s="137"/>
      <c r="E83" s="82" t="s">
        <v>179</v>
      </c>
      <c r="F83" s="82" t="s">
        <v>179</v>
      </c>
      <c r="G83" s="149"/>
      <c r="H83" s="154">
        <f t="shared" si="4"/>
        <v>0</v>
      </c>
      <c r="I83" s="154">
        <f t="shared" si="5"/>
        <v>0</v>
      </c>
      <c r="J83" s="310"/>
      <c r="K83" s="311"/>
      <c r="L83" s="311"/>
      <c r="M83" s="312"/>
      <c r="N83" s="14"/>
      <c r="O83" s="14"/>
    </row>
    <row r="84" spans="1:15" ht="15" customHeight="1" x14ac:dyDescent="0.3">
      <c r="A84" s="146"/>
      <c r="B84" s="147"/>
      <c r="C84" s="148"/>
      <c r="D84" s="137"/>
      <c r="E84" s="82" t="s">
        <v>179</v>
      </c>
      <c r="F84" s="82" t="s">
        <v>179</v>
      </c>
      <c r="G84" s="149"/>
      <c r="H84" s="154">
        <f t="shared" si="4"/>
        <v>0</v>
      </c>
      <c r="I84" s="154">
        <f t="shared" si="5"/>
        <v>0</v>
      </c>
      <c r="J84" s="310"/>
      <c r="K84" s="311"/>
      <c r="L84" s="311"/>
      <c r="M84" s="312"/>
      <c r="N84" s="14"/>
      <c r="O84" s="14"/>
    </row>
    <row r="85" spans="1:15" ht="15" customHeight="1" x14ac:dyDescent="0.3">
      <c r="A85" s="146"/>
      <c r="B85" s="147"/>
      <c r="C85" s="148"/>
      <c r="D85" s="137"/>
      <c r="E85" s="82" t="s">
        <v>179</v>
      </c>
      <c r="F85" s="82" t="s">
        <v>179</v>
      </c>
      <c r="G85" s="149"/>
      <c r="H85" s="154">
        <f t="shared" si="4"/>
        <v>0</v>
      </c>
      <c r="I85" s="154">
        <f t="shared" si="5"/>
        <v>0</v>
      </c>
      <c r="J85" s="310"/>
      <c r="K85" s="311"/>
      <c r="L85" s="311"/>
      <c r="M85" s="312"/>
      <c r="N85" s="14"/>
      <c r="O85" s="14"/>
    </row>
    <row r="86" spans="1:15" ht="15" customHeight="1" x14ac:dyDescent="0.3">
      <c r="A86" s="146"/>
      <c r="B86" s="147"/>
      <c r="C86" s="148"/>
      <c r="D86" s="137"/>
      <c r="E86" s="82" t="s">
        <v>179</v>
      </c>
      <c r="F86" s="82" t="s">
        <v>179</v>
      </c>
      <c r="G86" s="149"/>
      <c r="H86" s="154">
        <f t="shared" si="4"/>
        <v>0</v>
      </c>
      <c r="I86" s="154">
        <f t="shared" si="5"/>
        <v>0</v>
      </c>
      <c r="J86" s="310"/>
      <c r="K86" s="311"/>
      <c r="L86" s="311"/>
      <c r="M86" s="312"/>
      <c r="N86" s="14"/>
      <c r="O86" s="14"/>
    </row>
    <row r="87" spans="1:15" ht="15" customHeight="1" x14ac:dyDescent="0.3">
      <c r="A87" s="146"/>
      <c r="B87" s="147"/>
      <c r="C87" s="148"/>
      <c r="D87" s="139"/>
      <c r="E87" s="82" t="s">
        <v>179</v>
      </c>
      <c r="F87" s="82" t="s">
        <v>179</v>
      </c>
      <c r="G87" s="149"/>
      <c r="H87" s="154">
        <f t="shared" si="4"/>
        <v>0</v>
      </c>
      <c r="I87" s="154">
        <f t="shared" si="5"/>
        <v>0</v>
      </c>
      <c r="J87" s="310"/>
      <c r="K87" s="311"/>
      <c r="L87" s="311"/>
      <c r="M87" s="312"/>
      <c r="N87" s="14"/>
      <c r="O87" s="14"/>
    </row>
    <row r="88" spans="1:15" ht="15" customHeight="1" x14ac:dyDescent="0.3">
      <c r="A88" s="146"/>
      <c r="B88" s="147"/>
      <c r="C88" s="148"/>
      <c r="D88" s="137"/>
      <c r="E88" s="82" t="s">
        <v>179</v>
      </c>
      <c r="F88" s="82" t="s">
        <v>179</v>
      </c>
      <c r="G88" s="149"/>
      <c r="H88" s="154">
        <f t="shared" si="4"/>
        <v>0</v>
      </c>
      <c r="I88" s="154">
        <f t="shared" si="5"/>
        <v>0</v>
      </c>
      <c r="J88" s="310"/>
      <c r="K88" s="311"/>
      <c r="L88" s="311"/>
      <c r="M88" s="312"/>
      <c r="N88" s="14"/>
      <c r="O88" s="14"/>
    </row>
    <row r="89" spans="1:15" ht="15" customHeight="1" x14ac:dyDescent="0.3">
      <c r="A89" s="146"/>
      <c r="B89" s="147"/>
      <c r="C89" s="148"/>
      <c r="D89" s="137"/>
      <c r="E89" s="82" t="s">
        <v>179</v>
      </c>
      <c r="F89" s="82" t="s">
        <v>179</v>
      </c>
      <c r="G89" s="149"/>
      <c r="H89" s="154">
        <f t="shared" si="4"/>
        <v>0</v>
      </c>
      <c r="I89" s="154">
        <f t="shared" si="5"/>
        <v>0</v>
      </c>
      <c r="J89" s="310"/>
      <c r="K89" s="311"/>
      <c r="L89" s="311"/>
      <c r="M89" s="312"/>
      <c r="N89" s="14"/>
      <c r="O89" s="14"/>
    </row>
    <row r="90" spans="1:15" ht="15" customHeight="1" x14ac:dyDescent="0.3">
      <c r="A90" s="146"/>
      <c r="B90" s="147"/>
      <c r="C90" s="148"/>
      <c r="D90" s="137"/>
      <c r="E90" s="82" t="s">
        <v>179</v>
      </c>
      <c r="F90" s="82" t="s">
        <v>179</v>
      </c>
      <c r="G90" s="149"/>
      <c r="H90" s="154">
        <f t="shared" si="4"/>
        <v>0</v>
      </c>
      <c r="I90" s="154">
        <f t="shared" si="5"/>
        <v>0</v>
      </c>
      <c r="J90" s="310"/>
      <c r="K90" s="311"/>
      <c r="L90" s="311"/>
      <c r="M90" s="312"/>
      <c r="N90" s="14"/>
      <c r="O90" s="14"/>
    </row>
    <row r="91" spans="1:15" ht="15" customHeight="1" x14ac:dyDescent="0.3">
      <c r="A91" s="150"/>
      <c r="B91" s="151"/>
      <c r="C91" s="152"/>
      <c r="D91" s="139"/>
      <c r="E91" s="82" t="s">
        <v>179</v>
      </c>
      <c r="F91" s="82" t="s">
        <v>179</v>
      </c>
      <c r="G91" s="153"/>
      <c r="H91" s="52">
        <f>IF(E91="Yes",0.2*G91,0)</f>
        <v>0</v>
      </c>
      <c r="I91" s="154">
        <f t="shared" si="5"/>
        <v>0</v>
      </c>
      <c r="J91" s="310"/>
      <c r="K91" s="311"/>
      <c r="L91" s="311"/>
      <c r="M91" s="312"/>
      <c r="N91" s="14"/>
      <c r="O91" s="14"/>
    </row>
    <row r="92" spans="1:15" ht="15" customHeight="1" x14ac:dyDescent="0.25">
      <c r="N92" s="14"/>
      <c r="O92" s="14"/>
    </row>
    <row r="93" spans="1:15" ht="15" customHeight="1" x14ac:dyDescent="0.3">
      <c r="A93" s="10"/>
      <c r="B93" s="10"/>
      <c r="C93" s="10"/>
      <c r="D93" s="9" t="s">
        <v>4</v>
      </c>
      <c r="E93" s="322" t="str">
        <f>B5</f>
        <v>PUD #1 of Clallam County</v>
      </c>
      <c r="F93" s="323"/>
      <c r="G93" s="324"/>
      <c r="N93" s="14"/>
      <c r="O93" s="14"/>
    </row>
    <row r="94" spans="1:15" ht="15" customHeight="1" x14ac:dyDescent="0.3">
      <c r="D94" s="9" t="s">
        <v>13</v>
      </c>
      <c r="E94" s="269">
        <v>2016</v>
      </c>
      <c r="F94" s="270"/>
      <c r="G94" s="271"/>
    </row>
    <row r="95" spans="1:15" ht="13" x14ac:dyDescent="0.3">
      <c r="A95" s="2" t="s">
        <v>39</v>
      </c>
      <c r="B95" s="48"/>
      <c r="C95" s="48"/>
      <c r="D95" s="48"/>
      <c r="E95" s="48"/>
      <c r="F95" s="48"/>
      <c r="G95" s="48"/>
      <c r="H95" s="48"/>
      <c r="I95" s="48"/>
      <c r="J95" s="48"/>
      <c r="K95" s="48"/>
      <c r="L95" s="48"/>
    </row>
    <row r="96" spans="1:15" x14ac:dyDescent="0.25">
      <c r="A96" s="48"/>
      <c r="B96" s="48"/>
      <c r="C96" s="48"/>
      <c r="D96" s="48"/>
      <c r="E96" s="48"/>
      <c r="F96" s="48"/>
      <c r="G96" s="48"/>
      <c r="H96" s="48"/>
      <c r="I96" s="48"/>
      <c r="J96" s="48"/>
      <c r="K96" s="48"/>
      <c r="L96" s="48"/>
    </row>
    <row r="97" spans="1:12" x14ac:dyDescent="0.25">
      <c r="A97" s="48"/>
      <c r="B97" s="48"/>
      <c r="C97" s="48"/>
      <c r="D97" s="48"/>
      <c r="E97" s="48"/>
      <c r="F97" s="48"/>
      <c r="G97" s="48"/>
      <c r="H97" s="48"/>
      <c r="I97" s="48"/>
      <c r="J97" s="48"/>
      <c r="K97" s="48"/>
      <c r="L97" s="48"/>
    </row>
    <row r="98" spans="1:12" x14ac:dyDescent="0.25">
      <c r="A98" s="48"/>
      <c r="B98" s="48"/>
      <c r="C98" s="48"/>
      <c r="D98" s="48"/>
      <c r="E98" s="48"/>
      <c r="F98" s="48"/>
      <c r="G98" s="48"/>
      <c r="H98" s="48"/>
      <c r="I98" s="48"/>
      <c r="J98" s="48"/>
      <c r="K98" s="48"/>
      <c r="L98" s="48"/>
    </row>
    <row r="99" spans="1:12" x14ac:dyDescent="0.25">
      <c r="A99" s="48"/>
      <c r="B99" s="48"/>
      <c r="C99" s="48"/>
      <c r="D99" s="48"/>
      <c r="E99" s="48"/>
      <c r="F99" s="48"/>
      <c r="G99" s="48"/>
      <c r="H99" s="48"/>
      <c r="I99" s="48"/>
      <c r="J99" s="48"/>
      <c r="K99" s="48"/>
      <c r="L99" s="48"/>
    </row>
    <row r="100" spans="1:12" x14ac:dyDescent="0.25">
      <c r="A100" s="48"/>
      <c r="B100" s="48"/>
      <c r="C100" s="48"/>
      <c r="D100" s="48"/>
      <c r="E100" s="48"/>
      <c r="F100" s="48"/>
      <c r="G100" s="48"/>
      <c r="H100" s="48"/>
      <c r="I100" s="48"/>
      <c r="J100" s="48"/>
      <c r="K100" s="48"/>
      <c r="L100" s="48"/>
    </row>
    <row r="101" spans="1:12" x14ac:dyDescent="0.25">
      <c r="A101" s="48"/>
      <c r="B101" s="48"/>
      <c r="C101" s="48"/>
      <c r="D101" s="48"/>
      <c r="E101" s="48"/>
      <c r="F101" s="48"/>
      <c r="G101" s="48"/>
      <c r="H101" s="48"/>
      <c r="I101" s="48"/>
      <c r="J101" s="48"/>
      <c r="K101" s="48"/>
      <c r="L101" s="48"/>
    </row>
    <row r="102" spans="1:12" x14ac:dyDescent="0.25">
      <c r="A102" s="48"/>
      <c r="B102" s="48"/>
      <c r="C102" s="48"/>
      <c r="D102" s="48"/>
      <c r="E102" s="48"/>
      <c r="F102" s="48"/>
      <c r="G102" s="48"/>
      <c r="H102" s="48"/>
      <c r="I102" s="48"/>
      <c r="J102" s="48"/>
      <c r="K102" s="48"/>
      <c r="L102" s="48"/>
    </row>
    <row r="103" spans="1:12" x14ac:dyDescent="0.25">
      <c r="A103" s="48"/>
      <c r="B103" s="48"/>
      <c r="C103" s="48"/>
      <c r="D103" s="48"/>
      <c r="E103" s="48"/>
      <c r="F103" s="48"/>
      <c r="G103" s="48"/>
      <c r="H103" s="48"/>
      <c r="I103" s="48"/>
      <c r="J103" s="48"/>
      <c r="K103" s="48"/>
      <c r="L103" s="48"/>
    </row>
    <row r="104" spans="1:12" x14ac:dyDescent="0.25">
      <c r="A104" s="48"/>
      <c r="B104" s="48"/>
      <c r="C104" s="48"/>
      <c r="D104" s="48"/>
      <c r="E104" s="48"/>
      <c r="F104" s="48"/>
      <c r="G104" s="48"/>
      <c r="H104" s="48"/>
      <c r="I104" s="48"/>
      <c r="J104" s="48"/>
      <c r="K104" s="48"/>
      <c r="L104" s="48"/>
    </row>
    <row r="105" spans="1:12" x14ac:dyDescent="0.25">
      <c r="A105" s="48"/>
      <c r="B105" s="48"/>
      <c r="C105" s="48"/>
      <c r="D105" s="48"/>
      <c r="E105" s="48"/>
      <c r="F105" s="48"/>
      <c r="G105" s="48"/>
      <c r="H105" s="48"/>
      <c r="I105" s="48"/>
      <c r="J105" s="48"/>
      <c r="K105" s="48"/>
      <c r="L105" s="48"/>
    </row>
    <row r="106" spans="1:12" x14ac:dyDescent="0.25">
      <c r="A106" s="48"/>
      <c r="B106" s="48"/>
      <c r="C106" s="48"/>
      <c r="D106" s="48"/>
      <c r="E106" s="48"/>
      <c r="F106" s="48"/>
      <c r="G106" s="48"/>
      <c r="H106" s="48"/>
      <c r="I106" s="48"/>
      <c r="J106" s="48"/>
      <c r="K106" s="48"/>
      <c r="L106" s="48"/>
    </row>
    <row r="107" spans="1:12" x14ac:dyDescent="0.25">
      <c r="A107" s="48"/>
      <c r="B107" s="48"/>
      <c r="C107" s="48"/>
      <c r="D107" s="48"/>
      <c r="E107" s="48"/>
      <c r="F107" s="48"/>
      <c r="G107" s="48"/>
      <c r="H107" s="48"/>
      <c r="I107" s="48"/>
      <c r="J107" s="48"/>
      <c r="K107" s="48"/>
      <c r="L107" s="48"/>
    </row>
    <row r="108" spans="1:12" x14ac:dyDescent="0.25">
      <c r="A108" s="48"/>
      <c r="B108" s="48"/>
      <c r="C108" s="48"/>
      <c r="D108" s="48"/>
      <c r="E108" s="48"/>
      <c r="F108" s="48"/>
      <c r="G108" s="48"/>
      <c r="H108" s="48"/>
      <c r="I108" s="48"/>
      <c r="J108" s="48"/>
      <c r="K108" s="48"/>
      <c r="L108" s="48"/>
    </row>
    <row r="109" spans="1:12" x14ac:dyDescent="0.25">
      <c r="A109" s="48"/>
      <c r="B109" s="48"/>
      <c r="C109" s="48"/>
      <c r="D109" s="48"/>
      <c r="E109" s="48"/>
      <c r="F109" s="48"/>
      <c r="G109" s="48"/>
      <c r="H109" s="48"/>
      <c r="I109" s="48"/>
      <c r="J109" s="48"/>
      <c r="K109" s="48"/>
      <c r="L109" s="48"/>
    </row>
    <row r="110" spans="1:12" x14ac:dyDescent="0.25">
      <c r="A110" s="48"/>
      <c r="B110" s="48"/>
      <c r="C110" s="48"/>
      <c r="D110" s="48"/>
      <c r="E110" s="48"/>
      <c r="F110" s="48"/>
      <c r="G110" s="48"/>
      <c r="H110" s="48"/>
      <c r="I110" s="48"/>
      <c r="J110" s="48"/>
      <c r="K110" s="48"/>
      <c r="L110" s="48"/>
    </row>
    <row r="111" spans="1:12" x14ac:dyDescent="0.25">
      <c r="A111" s="48"/>
      <c r="B111" s="48"/>
      <c r="C111" s="48"/>
      <c r="D111" s="48"/>
      <c r="E111" s="48"/>
      <c r="F111" s="48"/>
      <c r="G111" s="48"/>
      <c r="H111" s="48"/>
      <c r="I111" s="48"/>
      <c r="J111" s="48"/>
      <c r="K111" s="48"/>
      <c r="L111" s="48"/>
    </row>
    <row r="112" spans="1:12" x14ac:dyDescent="0.25">
      <c r="A112" s="48"/>
      <c r="B112" s="48"/>
      <c r="C112" s="48"/>
      <c r="D112" s="48"/>
      <c r="E112" s="48"/>
      <c r="F112" s="48"/>
      <c r="G112" s="48"/>
      <c r="H112" s="48"/>
      <c r="I112" s="48"/>
      <c r="J112" s="48"/>
      <c r="K112" s="48"/>
      <c r="L112" s="48"/>
    </row>
    <row r="113" spans="1:12" x14ac:dyDescent="0.25">
      <c r="A113" s="48"/>
      <c r="B113" s="48"/>
      <c r="C113" s="48"/>
      <c r="D113" s="48"/>
      <c r="E113" s="48"/>
      <c r="F113" s="48"/>
      <c r="G113" s="48"/>
      <c r="H113" s="48"/>
      <c r="I113" s="48"/>
      <c r="J113" s="48"/>
      <c r="K113" s="48"/>
      <c r="L113" s="48"/>
    </row>
    <row r="114" spans="1:12" x14ac:dyDescent="0.25">
      <c r="A114" s="48"/>
      <c r="B114" s="48"/>
      <c r="C114" s="48"/>
      <c r="D114" s="48"/>
      <c r="E114" s="48"/>
      <c r="F114" s="48"/>
      <c r="G114" s="48"/>
      <c r="H114" s="48"/>
      <c r="I114" s="48"/>
      <c r="J114" s="48"/>
      <c r="K114" s="48"/>
      <c r="L114" s="48"/>
    </row>
    <row r="115" spans="1:12" x14ac:dyDescent="0.25">
      <c r="A115" s="48"/>
      <c r="B115" s="48"/>
      <c r="C115" s="48"/>
      <c r="D115" s="48"/>
      <c r="E115" s="48"/>
      <c r="F115" s="48"/>
      <c r="G115" s="48"/>
      <c r="H115" s="48"/>
      <c r="I115" s="48"/>
      <c r="J115" s="48"/>
      <c r="K115" s="48"/>
      <c r="L115" s="48"/>
    </row>
    <row r="116" spans="1:12" x14ac:dyDescent="0.25">
      <c r="A116" s="48"/>
      <c r="B116" s="48"/>
      <c r="C116" s="48"/>
      <c r="D116" s="48"/>
      <c r="E116" s="48"/>
      <c r="F116" s="48"/>
      <c r="G116" s="48"/>
      <c r="H116" s="48"/>
      <c r="I116" s="48"/>
      <c r="J116" s="48"/>
      <c r="K116" s="48"/>
      <c r="L116" s="48"/>
    </row>
  </sheetData>
  <mergeCells count="70">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 ref="B5:D5"/>
    <mergeCell ref="B6:D6"/>
    <mergeCell ref="B7:D7"/>
    <mergeCell ref="B8:D8"/>
    <mergeCell ref="B9:D9"/>
    <mergeCell ref="H4:M4"/>
    <mergeCell ref="F12:M12"/>
    <mergeCell ref="J68:M68"/>
    <mergeCell ref="J69:M69"/>
    <mergeCell ref="J70:M70"/>
    <mergeCell ref="G60:K60"/>
    <mergeCell ref="G55:K55"/>
    <mergeCell ref="G56:K56"/>
    <mergeCell ref="G57:K57"/>
    <mergeCell ref="G58:K58"/>
    <mergeCell ref="G59:K59"/>
    <mergeCell ref="F65:F66"/>
    <mergeCell ref="J65:M66"/>
    <mergeCell ref="J67:M67"/>
    <mergeCell ref="H16:L16"/>
    <mergeCell ref="E62:G62"/>
    <mergeCell ref="J72:M72"/>
    <mergeCell ref="J73:M73"/>
    <mergeCell ref="J74:M74"/>
    <mergeCell ref="J75:M75"/>
    <mergeCell ref="J76:M76"/>
    <mergeCell ref="J77:M77"/>
    <mergeCell ref="J78:M78"/>
    <mergeCell ref="J79:M79"/>
    <mergeCell ref="J80:M80"/>
    <mergeCell ref="J88:M88"/>
    <mergeCell ref="J89:M89"/>
    <mergeCell ref="J90:M90"/>
    <mergeCell ref="J81:M81"/>
    <mergeCell ref="J82:M82"/>
    <mergeCell ref="J83:M83"/>
    <mergeCell ref="J84:M84"/>
    <mergeCell ref="J85:M85"/>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s>
  <dataValidations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pageMargins left="0.7" right="0.7" top="0.75" bottom="0.75" header="0.3" footer="0.3"/>
  <pageSetup scale="71" fitToHeight="0" orientation="landscape" r:id="rId1"/>
  <rowBreaks count="3" manualBreakCount="3">
    <brk id="34" max="13" man="1"/>
    <brk id="61" max="13" man="1"/>
    <brk id="91"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5453" r:id="rId4" name="Check Box 333">
              <controlPr defaultSize="0" autoFill="0" autoLine="0" autoPict="0">
                <anchor moveWithCells="1" sizeWithCells="1">
                  <from>
                    <xdr:col>0</xdr:col>
                    <xdr:colOff>736600</xdr:colOff>
                    <xdr:row>15</xdr:row>
                    <xdr:rowOff>12700</xdr:rowOff>
                  </from>
                  <to>
                    <xdr:col>3</xdr:col>
                    <xdr:colOff>431800</xdr:colOff>
                    <xdr:row>15</xdr:row>
                    <xdr:rowOff>127000</xdr:rowOff>
                  </to>
                </anchor>
              </controlPr>
            </control>
          </mc:Choice>
        </mc:AlternateContent>
        <mc:AlternateContent xmlns:mc="http://schemas.openxmlformats.org/markup-compatibility/2006">
          <mc:Choice Requires="x14">
            <control shapeId="5454" r:id="rId5" name="Check Box 334">
              <controlPr defaultSize="0" autoFill="0" autoLine="0" autoPict="0">
                <anchor moveWithCells="1" sizeWithCells="1">
                  <from>
                    <xdr:col>0</xdr:col>
                    <xdr:colOff>736600</xdr:colOff>
                    <xdr:row>12</xdr:row>
                    <xdr:rowOff>165100</xdr:rowOff>
                  </from>
                  <to>
                    <xdr:col>3</xdr:col>
                    <xdr:colOff>260350</xdr:colOff>
                    <xdr:row>14</xdr:row>
                    <xdr:rowOff>101600</xdr:rowOff>
                  </to>
                </anchor>
              </controlPr>
            </control>
          </mc:Choice>
        </mc:AlternateContent>
        <mc:AlternateContent xmlns:mc="http://schemas.openxmlformats.org/markup-compatibility/2006">
          <mc:Choice Requires="x14">
            <control shapeId="5455" r:id="rId6" name="Check Box 335">
              <controlPr defaultSize="0" autoFill="0" autoLine="0" autoPict="0">
                <anchor moveWithCells="1" sizeWithCells="1">
                  <from>
                    <xdr:col>0</xdr:col>
                    <xdr:colOff>736600</xdr:colOff>
                    <xdr:row>11</xdr:row>
                    <xdr:rowOff>127000</xdr:rowOff>
                  </from>
                  <to>
                    <xdr:col>3</xdr:col>
                    <xdr:colOff>50800</xdr:colOff>
                    <xdr:row>12</xdr:row>
                    <xdr:rowOff>107950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2"/>
  <sheetViews>
    <sheetView showGridLines="0" tabSelected="1" zoomScaleNormal="100" zoomScaleSheetLayoutView="100" workbookViewId="0">
      <selection activeCell="E45" sqref="E45"/>
    </sheetView>
  </sheetViews>
  <sheetFormatPr defaultColWidth="9.08984375" defaultRowHeight="12.5" x14ac:dyDescent="0.25"/>
  <cols>
    <col min="1" max="1" width="30.08984375" style="78" customWidth="1"/>
    <col min="2" max="2" width="10.90625" style="78" customWidth="1"/>
    <col min="3" max="3" width="10.36328125" style="78" customWidth="1"/>
    <col min="4" max="4" width="14" style="78" customWidth="1"/>
    <col min="5" max="5" width="14.08984375" style="78" customWidth="1"/>
    <col min="6" max="8" width="10.6328125" style="78" customWidth="1"/>
    <col min="9" max="9" width="15.6328125" style="78" customWidth="1"/>
    <col min="10" max="10" width="10.6328125" style="78" customWidth="1"/>
    <col min="11" max="11" width="16.54296875" style="78" customWidth="1"/>
    <col min="12" max="16384" width="9.08984375" style="78"/>
  </cols>
  <sheetData>
    <row r="1" spans="1:14" ht="15" customHeight="1" x14ac:dyDescent="0.25">
      <c r="A1" s="336" t="s">
        <v>192</v>
      </c>
      <c r="B1" s="336"/>
      <c r="C1" s="336"/>
      <c r="D1" s="336"/>
      <c r="E1" s="336"/>
      <c r="F1" s="336"/>
      <c r="G1" s="336"/>
      <c r="H1" s="336"/>
      <c r="I1" s="336"/>
      <c r="J1" s="336"/>
      <c r="K1" s="336"/>
      <c r="L1" s="79"/>
      <c r="M1" s="79"/>
      <c r="N1" s="79"/>
    </row>
    <row r="2" spans="1:14" ht="15" customHeight="1" x14ac:dyDescent="0.25">
      <c r="A2" s="337" t="s">
        <v>193</v>
      </c>
      <c r="B2" s="337"/>
      <c r="C2" s="337"/>
      <c r="D2" s="337"/>
      <c r="E2" s="337"/>
      <c r="F2" s="337"/>
      <c r="G2" s="337"/>
      <c r="H2" s="337"/>
      <c r="I2" s="337"/>
      <c r="J2" s="337"/>
      <c r="K2" s="337"/>
      <c r="L2" s="79"/>
      <c r="M2" s="79"/>
      <c r="N2" s="79"/>
    </row>
    <row r="3" spans="1:14" s="79" customFormat="1" ht="18" x14ac:dyDescent="0.5">
      <c r="A3" s="156" t="s">
        <v>138</v>
      </c>
      <c r="B3" s="156"/>
      <c r="C3" s="156"/>
    </row>
    <row r="4" spans="1:14" ht="15" customHeight="1" x14ac:dyDescent="0.25">
      <c r="L4" s="79"/>
      <c r="M4" s="79"/>
      <c r="N4" s="79"/>
    </row>
    <row r="5" spans="1:14" ht="16.5" customHeight="1" x14ac:dyDescent="0.35">
      <c r="A5" s="157" t="s">
        <v>101</v>
      </c>
      <c r="B5" s="158"/>
      <c r="C5" s="158"/>
      <c r="D5" s="87" t="s">
        <v>4</v>
      </c>
      <c r="E5" s="338" t="str">
        <f>'Renewables Report'!$B$5</f>
        <v>PUD #1 of Clallam County</v>
      </c>
      <c r="F5" s="339"/>
      <c r="G5" s="340"/>
      <c r="L5" s="79"/>
      <c r="M5" s="79"/>
      <c r="N5" s="79"/>
    </row>
    <row r="6" spans="1:14" ht="15" customHeight="1" x14ac:dyDescent="0.3">
      <c r="D6" s="87" t="s">
        <v>13</v>
      </c>
      <c r="E6" s="341">
        <v>2016</v>
      </c>
      <c r="F6" s="342"/>
      <c r="G6" s="343"/>
    </row>
    <row r="7" spans="1:14" ht="15" customHeight="1" x14ac:dyDescent="0.3">
      <c r="D7" s="87"/>
      <c r="E7" s="88"/>
      <c r="F7" s="159"/>
      <c r="G7" s="159"/>
    </row>
    <row r="8" spans="1:14" ht="46.5" x14ac:dyDescent="0.3">
      <c r="A8" s="160" t="s">
        <v>19</v>
      </c>
      <c r="B8" s="161" t="s">
        <v>31</v>
      </c>
      <c r="C8" s="162" t="s">
        <v>7</v>
      </c>
      <c r="D8" s="163" t="s">
        <v>137</v>
      </c>
      <c r="E8" s="163" t="s">
        <v>96</v>
      </c>
      <c r="F8" s="344" t="s">
        <v>95</v>
      </c>
      <c r="G8" s="344"/>
      <c r="H8" s="344"/>
      <c r="I8" s="163" t="s">
        <v>136</v>
      </c>
      <c r="J8" s="163" t="s">
        <v>97</v>
      </c>
      <c r="K8" s="163" t="s">
        <v>135</v>
      </c>
    </row>
    <row r="9" spans="1:14" ht="15" customHeight="1" x14ac:dyDescent="0.25">
      <c r="A9" s="182">
        <f>'Renewables Report'!A40</f>
        <v>0</v>
      </c>
      <c r="B9" s="183">
        <f>'Renewables Report'!B40</f>
        <v>0</v>
      </c>
      <c r="C9" s="184">
        <f>SUM('Renewables Report'!E40)</f>
        <v>0</v>
      </c>
      <c r="D9" s="164"/>
      <c r="E9" s="193" t="str">
        <f>IF(C9&gt;0,D9/C9,"")</f>
        <v/>
      </c>
      <c r="F9" s="313"/>
      <c r="G9" s="314"/>
      <c r="H9" s="315"/>
      <c r="I9" s="164"/>
      <c r="J9" s="193" t="str">
        <f>IF(C9&gt;0,I9/C9,"")</f>
        <v/>
      </c>
      <c r="K9" s="193">
        <f>MAX(0,D9-I9)</f>
        <v>0</v>
      </c>
    </row>
    <row r="10" spans="1:14" ht="15" customHeight="1" x14ac:dyDescent="0.25">
      <c r="A10" s="185">
        <f>'Renewables Report'!A41</f>
        <v>0</v>
      </c>
      <c r="B10" s="186">
        <f>'Renewables Report'!B41</f>
        <v>0</v>
      </c>
      <c r="C10" s="187">
        <f>SUM('Renewables Report'!E41)</f>
        <v>0</v>
      </c>
      <c r="D10" s="165"/>
      <c r="E10" s="194" t="str">
        <f t="shared" ref="E10:E29" si="0">IF(C10&gt;0,D10/C10,"")</f>
        <v/>
      </c>
      <c r="F10" s="310"/>
      <c r="G10" s="311"/>
      <c r="H10" s="312"/>
      <c r="I10" s="165"/>
      <c r="J10" s="194" t="str">
        <f t="shared" ref="J10:J29" si="1">IF(C10&gt;0,I10/C10,"")</f>
        <v/>
      </c>
      <c r="K10" s="194">
        <f t="shared" ref="K10:K29" si="2">MAX(0,D10-I10)</f>
        <v>0</v>
      </c>
    </row>
    <row r="11" spans="1:14" ht="15" customHeight="1" x14ac:dyDescent="0.25">
      <c r="A11" s="185">
        <f>'Renewables Report'!A42</f>
        <v>0</v>
      </c>
      <c r="B11" s="186">
        <f>'Renewables Report'!B42</f>
        <v>0</v>
      </c>
      <c r="C11" s="187">
        <f>SUM('Renewables Report'!E42)</f>
        <v>0</v>
      </c>
      <c r="D11" s="165"/>
      <c r="E11" s="194" t="str">
        <f t="shared" si="0"/>
        <v/>
      </c>
      <c r="F11" s="310"/>
      <c r="G11" s="311"/>
      <c r="H11" s="312"/>
      <c r="I11" s="165"/>
      <c r="J11" s="194" t="str">
        <f t="shared" si="1"/>
        <v/>
      </c>
      <c r="K11" s="194">
        <f t="shared" si="2"/>
        <v>0</v>
      </c>
    </row>
    <row r="12" spans="1:14" ht="15" customHeight="1" x14ac:dyDescent="0.25">
      <c r="A12" s="185">
        <f>'Renewables Report'!A43</f>
        <v>0</v>
      </c>
      <c r="B12" s="186">
        <f>'Renewables Report'!B43</f>
        <v>0</v>
      </c>
      <c r="C12" s="187">
        <f>SUM('Renewables Report'!E43)</f>
        <v>0</v>
      </c>
      <c r="D12" s="165"/>
      <c r="E12" s="194" t="str">
        <f t="shared" si="0"/>
        <v/>
      </c>
      <c r="F12" s="310"/>
      <c r="G12" s="311"/>
      <c r="H12" s="312"/>
      <c r="I12" s="165"/>
      <c r="J12" s="194" t="str">
        <f t="shared" si="1"/>
        <v/>
      </c>
      <c r="K12" s="194">
        <f t="shared" si="2"/>
        <v>0</v>
      </c>
    </row>
    <row r="13" spans="1:14" ht="15" customHeight="1" x14ac:dyDescent="0.25">
      <c r="A13" s="185">
        <f>'Renewables Report'!A44</f>
        <v>0</v>
      </c>
      <c r="B13" s="186">
        <f>'Renewables Report'!B44</f>
        <v>0</v>
      </c>
      <c r="C13" s="187">
        <f>SUM('Renewables Report'!E44)</f>
        <v>0</v>
      </c>
      <c r="D13" s="165"/>
      <c r="E13" s="194" t="str">
        <f t="shared" si="0"/>
        <v/>
      </c>
      <c r="F13" s="310"/>
      <c r="G13" s="311"/>
      <c r="H13" s="312"/>
      <c r="I13" s="165"/>
      <c r="J13" s="194" t="str">
        <f t="shared" si="1"/>
        <v/>
      </c>
      <c r="K13" s="194">
        <f t="shared" si="2"/>
        <v>0</v>
      </c>
    </row>
    <row r="14" spans="1:14" ht="15" customHeight="1" x14ac:dyDescent="0.25">
      <c r="A14" s="185">
        <f>'Renewables Report'!A45</f>
        <v>0</v>
      </c>
      <c r="B14" s="186">
        <f>'Renewables Report'!B45</f>
        <v>0</v>
      </c>
      <c r="C14" s="187">
        <f>SUM('Renewables Report'!E45)</f>
        <v>0</v>
      </c>
      <c r="D14" s="165"/>
      <c r="E14" s="194" t="str">
        <f t="shared" si="0"/>
        <v/>
      </c>
      <c r="F14" s="310"/>
      <c r="G14" s="311"/>
      <c r="H14" s="312"/>
      <c r="I14" s="165"/>
      <c r="J14" s="194" t="str">
        <f t="shared" si="1"/>
        <v/>
      </c>
      <c r="K14" s="194">
        <f t="shared" si="2"/>
        <v>0</v>
      </c>
    </row>
    <row r="15" spans="1:14" ht="15" customHeight="1" x14ac:dyDescent="0.25">
      <c r="A15" s="185">
        <f>'Renewables Report'!A46</f>
        <v>0</v>
      </c>
      <c r="B15" s="186">
        <f>'Renewables Report'!B46</f>
        <v>0</v>
      </c>
      <c r="C15" s="187">
        <f>SUM('Renewables Report'!E46)</f>
        <v>0</v>
      </c>
      <c r="D15" s="165"/>
      <c r="E15" s="194" t="str">
        <f t="shared" si="0"/>
        <v/>
      </c>
      <c r="F15" s="310"/>
      <c r="G15" s="311"/>
      <c r="H15" s="312"/>
      <c r="I15" s="165"/>
      <c r="J15" s="194" t="str">
        <f t="shared" si="1"/>
        <v/>
      </c>
      <c r="K15" s="194">
        <f t="shared" si="2"/>
        <v>0</v>
      </c>
    </row>
    <row r="16" spans="1:14" ht="15" customHeight="1" x14ac:dyDescent="0.25">
      <c r="A16" s="185">
        <f>'Renewables Report'!A47</f>
        <v>0</v>
      </c>
      <c r="B16" s="186">
        <f>'Renewables Report'!B47</f>
        <v>0</v>
      </c>
      <c r="C16" s="187">
        <f>SUM('Renewables Report'!E47)</f>
        <v>0</v>
      </c>
      <c r="D16" s="165"/>
      <c r="E16" s="194" t="str">
        <f t="shared" si="0"/>
        <v/>
      </c>
      <c r="F16" s="310"/>
      <c r="G16" s="311"/>
      <c r="H16" s="312"/>
      <c r="I16" s="165"/>
      <c r="J16" s="194" t="str">
        <f t="shared" si="1"/>
        <v/>
      </c>
      <c r="K16" s="194">
        <f t="shared" si="2"/>
        <v>0</v>
      </c>
    </row>
    <row r="17" spans="1:11" ht="15" customHeight="1" x14ac:dyDescent="0.25">
      <c r="A17" s="185">
        <f>'Renewables Report'!A48</f>
        <v>0</v>
      </c>
      <c r="B17" s="186">
        <f>'Renewables Report'!B48</f>
        <v>0</v>
      </c>
      <c r="C17" s="187">
        <f>SUM('Renewables Report'!E48)</f>
        <v>0</v>
      </c>
      <c r="D17" s="165"/>
      <c r="E17" s="194" t="str">
        <f t="shared" si="0"/>
        <v/>
      </c>
      <c r="F17" s="310"/>
      <c r="G17" s="311"/>
      <c r="H17" s="312"/>
      <c r="I17" s="165"/>
      <c r="J17" s="194" t="str">
        <f t="shared" si="1"/>
        <v/>
      </c>
      <c r="K17" s="194">
        <f t="shared" si="2"/>
        <v>0</v>
      </c>
    </row>
    <row r="18" spans="1:11" ht="15" customHeight="1" x14ac:dyDescent="0.25">
      <c r="A18" s="185">
        <f>'Renewables Report'!A49</f>
        <v>0</v>
      </c>
      <c r="B18" s="186">
        <f>'Renewables Report'!B49</f>
        <v>0</v>
      </c>
      <c r="C18" s="187">
        <f>SUM('Renewables Report'!E49)</f>
        <v>0</v>
      </c>
      <c r="D18" s="165"/>
      <c r="E18" s="194"/>
      <c r="F18" s="310"/>
      <c r="G18" s="311"/>
      <c r="H18" s="312"/>
      <c r="I18" s="165"/>
      <c r="J18" s="194" t="str">
        <f t="shared" si="1"/>
        <v/>
      </c>
      <c r="K18" s="194">
        <f t="shared" si="2"/>
        <v>0</v>
      </c>
    </row>
    <row r="19" spans="1:11" ht="15" customHeight="1" x14ac:dyDescent="0.25">
      <c r="A19" s="185">
        <f>'Renewables Report'!A50</f>
        <v>0</v>
      </c>
      <c r="B19" s="186">
        <f>'Renewables Report'!B50</f>
        <v>0</v>
      </c>
      <c r="C19" s="187">
        <f>SUM('Renewables Report'!E50)</f>
        <v>0</v>
      </c>
      <c r="D19" s="165"/>
      <c r="E19" s="194"/>
      <c r="F19" s="310"/>
      <c r="G19" s="311"/>
      <c r="H19" s="312"/>
      <c r="I19" s="165"/>
      <c r="J19" s="194" t="str">
        <f t="shared" si="1"/>
        <v/>
      </c>
      <c r="K19" s="194">
        <f t="shared" si="2"/>
        <v>0</v>
      </c>
    </row>
    <row r="20" spans="1:11" ht="15" customHeight="1" x14ac:dyDescent="0.25">
      <c r="A20" s="185">
        <f>'Renewables Report'!A51</f>
        <v>0</v>
      </c>
      <c r="B20" s="186">
        <f>'Renewables Report'!B51</f>
        <v>0</v>
      </c>
      <c r="C20" s="187">
        <f>SUM('Renewables Report'!E51)</f>
        <v>0</v>
      </c>
      <c r="D20" s="165"/>
      <c r="E20" s="194" t="str">
        <f t="shared" si="0"/>
        <v/>
      </c>
      <c r="F20" s="310"/>
      <c r="G20" s="311"/>
      <c r="H20" s="312"/>
      <c r="I20" s="165"/>
      <c r="J20" s="194" t="str">
        <f t="shared" si="1"/>
        <v/>
      </c>
      <c r="K20" s="194">
        <f t="shared" si="2"/>
        <v>0</v>
      </c>
    </row>
    <row r="21" spans="1:11" ht="15" customHeight="1" x14ac:dyDescent="0.25">
      <c r="A21" s="185">
        <f>'Renewables Report'!A52</f>
        <v>0</v>
      </c>
      <c r="B21" s="186">
        <f>'Renewables Report'!B52</f>
        <v>0</v>
      </c>
      <c r="C21" s="187">
        <f>SUM('Renewables Report'!E52)</f>
        <v>0</v>
      </c>
      <c r="D21" s="165"/>
      <c r="E21" s="194" t="str">
        <f t="shared" si="0"/>
        <v/>
      </c>
      <c r="F21" s="310"/>
      <c r="G21" s="311"/>
      <c r="H21" s="312"/>
      <c r="I21" s="165"/>
      <c r="J21" s="194" t="str">
        <f t="shared" si="1"/>
        <v/>
      </c>
      <c r="K21" s="194">
        <f t="shared" si="2"/>
        <v>0</v>
      </c>
    </row>
    <row r="22" spans="1:11" ht="15" customHeight="1" x14ac:dyDescent="0.25">
      <c r="A22" s="185">
        <f>'Renewables Report'!A53</f>
        <v>0</v>
      </c>
      <c r="B22" s="186">
        <f>'Renewables Report'!B53</f>
        <v>0</v>
      </c>
      <c r="C22" s="187">
        <f>SUM('Renewables Report'!E53)</f>
        <v>0</v>
      </c>
      <c r="D22" s="165"/>
      <c r="E22" s="194" t="str">
        <f t="shared" si="0"/>
        <v/>
      </c>
      <c r="F22" s="310"/>
      <c r="G22" s="311"/>
      <c r="H22" s="312"/>
      <c r="I22" s="165"/>
      <c r="J22" s="194" t="str">
        <f t="shared" si="1"/>
        <v/>
      </c>
      <c r="K22" s="194">
        <f t="shared" si="2"/>
        <v>0</v>
      </c>
    </row>
    <row r="23" spans="1:11" ht="15" customHeight="1" x14ac:dyDescent="0.25">
      <c r="A23" s="185">
        <f>'Renewables Report'!A54</f>
        <v>0</v>
      </c>
      <c r="B23" s="186">
        <f>'Renewables Report'!B54</f>
        <v>0</v>
      </c>
      <c r="C23" s="187">
        <f>SUM('Renewables Report'!E54)</f>
        <v>0</v>
      </c>
      <c r="D23" s="165"/>
      <c r="E23" s="194" t="str">
        <f t="shared" si="0"/>
        <v/>
      </c>
      <c r="F23" s="310"/>
      <c r="G23" s="311"/>
      <c r="H23" s="312"/>
      <c r="I23" s="165"/>
      <c r="J23" s="194" t="str">
        <f t="shared" si="1"/>
        <v/>
      </c>
      <c r="K23" s="194">
        <f t="shared" si="2"/>
        <v>0</v>
      </c>
    </row>
    <row r="24" spans="1:11" ht="15" customHeight="1" x14ac:dyDescent="0.25">
      <c r="A24" s="185">
        <f>'Renewables Report'!A55</f>
        <v>0</v>
      </c>
      <c r="B24" s="186">
        <f>'Renewables Report'!B55</f>
        <v>0</v>
      </c>
      <c r="C24" s="187">
        <f>SUM('Renewables Report'!E55)</f>
        <v>0</v>
      </c>
      <c r="D24" s="165"/>
      <c r="E24" s="194" t="str">
        <f t="shared" si="0"/>
        <v/>
      </c>
      <c r="F24" s="310"/>
      <c r="G24" s="311"/>
      <c r="H24" s="312"/>
      <c r="I24" s="165"/>
      <c r="J24" s="194" t="str">
        <f t="shared" si="1"/>
        <v/>
      </c>
      <c r="K24" s="194">
        <f t="shared" si="2"/>
        <v>0</v>
      </c>
    </row>
    <row r="25" spans="1:11" ht="15" customHeight="1" x14ac:dyDescent="0.25">
      <c r="A25" s="185">
        <f>'Renewables Report'!A56</f>
        <v>0</v>
      </c>
      <c r="B25" s="186">
        <f>'Renewables Report'!B56</f>
        <v>0</v>
      </c>
      <c r="C25" s="187">
        <f>SUM('Renewables Report'!E56)</f>
        <v>0</v>
      </c>
      <c r="D25" s="165"/>
      <c r="E25" s="194" t="str">
        <f t="shared" si="0"/>
        <v/>
      </c>
      <c r="F25" s="310"/>
      <c r="G25" s="311"/>
      <c r="H25" s="312"/>
      <c r="I25" s="165"/>
      <c r="J25" s="194" t="str">
        <f t="shared" si="1"/>
        <v/>
      </c>
      <c r="K25" s="194">
        <f t="shared" si="2"/>
        <v>0</v>
      </c>
    </row>
    <row r="26" spans="1:11" ht="15" customHeight="1" x14ac:dyDescent="0.25">
      <c r="A26" s="185">
        <f>'Renewables Report'!A57</f>
        <v>0</v>
      </c>
      <c r="B26" s="186">
        <f>'Renewables Report'!B57</f>
        <v>0</v>
      </c>
      <c r="C26" s="187">
        <f>SUM('Renewables Report'!E57)</f>
        <v>0</v>
      </c>
      <c r="D26" s="165"/>
      <c r="E26" s="194" t="str">
        <f t="shared" si="0"/>
        <v/>
      </c>
      <c r="F26" s="310"/>
      <c r="G26" s="311"/>
      <c r="H26" s="312"/>
      <c r="I26" s="165"/>
      <c r="J26" s="194" t="str">
        <f t="shared" si="1"/>
        <v/>
      </c>
      <c r="K26" s="194">
        <f t="shared" si="2"/>
        <v>0</v>
      </c>
    </row>
    <row r="27" spans="1:11" ht="15" customHeight="1" x14ac:dyDescent="0.25">
      <c r="A27" s="185">
        <f>'Renewables Report'!A58</f>
        <v>0</v>
      </c>
      <c r="B27" s="186">
        <f>'Renewables Report'!B58</f>
        <v>0</v>
      </c>
      <c r="C27" s="187">
        <f>SUM('Renewables Report'!E58)</f>
        <v>0</v>
      </c>
      <c r="D27" s="165"/>
      <c r="E27" s="194" t="str">
        <f t="shared" si="0"/>
        <v/>
      </c>
      <c r="F27" s="310"/>
      <c r="G27" s="311"/>
      <c r="H27" s="312"/>
      <c r="I27" s="165"/>
      <c r="J27" s="194" t="str">
        <f t="shared" si="1"/>
        <v/>
      </c>
      <c r="K27" s="194">
        <f t="shared" si="2"/>
        <v>0</v>
      </c>
    </row>
    <row r="28" spans="1:11" ht="15" customHeight="1" x14ac:dyDescent="0.25">
      <c r="A28" s="185">
        <f>'Renewables Report'!A59</f>
        <v>0</v>
      </c>
      <c r="B28" s="186">
        <f>'Renewables Report'!B59</f>
        <v>0</v>
      </c>
      <c r="C28" s="187">
        <f>SUM('Renewables Report'!E59)</f>
        <v>0</v>
      </c>
      <c r="D28" s="165"/>
      <c r="E28" s="194" t="str">
        <f t="shared" si="0"/>
        <v/>
      </c>
      <c r="F28" s="310"/>
      <c r="G28" s="311"/>
      <c r="H28" s="312"/>
      <c r="I28" s="165"/>
      <c r="J28" s="194" t="str">
        <f t="shared" si="1"/>
        <v/>
      </c>
      <c r="K28" s="194">
        <f t="shared" si="2"/>
        <v>0</v>
      </c>
    </row>
    <row r="29" spans="1:11" ht="15" customHeight="1" x14ac:dyDescent="0.25">
      <c r="A29" s="188">
        <f>'Renewables Report'!A60</f>
        <v>0</v>
      </c>
      <c r="B29" s="189">
        <f>'Renewables Report'!B60</f>
        <v>0</v>
      </c>
      <c r="C29" s="190">
        <f>SUM('Renewables Report'!E60)</f>
        <v>0</v>
      </c>
      <c r="D29" s="166"/>
      <c r="E29" s="195" t="str">
        <f t="shared" si="0"/>
        <v/>
      </c>
      <c r="F29" s="316"/>
      <c r="G29" s="317"/>
      <c r="H29" s="318"/>
      <c r="I29" s="166"/>
      <c r="J29" s="195" t="str">
        <f t="shared" si="1"/>
        <v/>
      </c>
      <c r="K29" s="195">
        <f t="shared" si="2"/>
        <v>0</v>
      </c>
    </row>
    <row r="30" spans="1:11" ht="15" customHeight="1" x14ac:dyDescent="0.3">
      <c r="A30" s="191" t="s">
        <v>98</v>
      </c>
      <c r="B30" s="191"/>
      <c r="C30" s="192">
        <f>SUM(C9:C29)</f>
        <v>0</v>
      </c>
      <c r="D30" s="196">
        <f>SUM(D9:D29)</f>
        <v>0</v>
      </c>
      <c r="E30" s="196"/>
      <c r="F30" s="196"/>
      <c r="G30" s="196"/>
      <c r="H30" s="196"/>
      <c r="I30" s="196">
        <f>SUM(I9:I29)</f>
        <v>0</v>
      </c>
      <c r="J30" s="197"/>
      <c r="K30" s="196">
        <f>SUM(K9:K29)</f>
        <v>0</v>
      </c>
    </row>
    <row r="31" spans="1:11" ht="15" customHeight="1" x14ac:dyDescent="0.25">
      <c r="D31" s="79"/>
      <c r="E31" s="79"/>
      <c r="F31" s="79"/>
      <c r="G31" s="79"/>
      <c r="H31" s="79"/>
      <c r="I31" s="79"/>
      <c r="J31" s="79"/>
      <c r="K31" s="79"/>
    </row>
    <row r="32" spans="1:11" ht="17.25" customHeight="1" x14ac:dyDescent="0.35">
      <c r="A32" s="157" t="s">
        <v>102</v>
      </c>
      <c r="B32" s="167"/>
      <c r="C32" s="158"/>
      <c r="D32" s="87" t="s">
        <v>4</v>
      </c>
      <c r="E32" s="338" t="str">
        <f>E5</f>
        <v>PUD #1 of Clallam County</v>
      </c>
      <c r="F32" s="339"/>
      <c r="G32" s="340"/>
    </row>
    <row r="33" spans="1:11" ht="15" customHeight="1" x14ac:dyDescent="0.3">
      <c r="A33" s="167"/>
      <c r="B33" s="167"/>
      <c r="D33" s="87" t="s">
        <v>13</v>
      </c>
      <c r="E33" s="341">
        <v>2016</v>
      </c>
      <c r="F33" s="342"/>
      <c r="G33" s="343"/>
    </row>
    <row r="34" spans="1:11" ht="15" customHeight="1" x14ac:dyDescent="0.3">
      <c r="A34" s="87"/>
      <c r="B34" s="87"/>
      <c r="C34" s="87"/>
      <c r="D34" s="155"/>
      <c r="G34" s="168"/>
      <c r="H34" s="79"/>
    </row>
    <row r="35" spans="1:11" s="170" customFormat="1" ht="13" x14ac:dyDescent="0.3">
      <c r="A35" s="87"/>
      <c r="B35" s="87"/>
      <c r="C35" s="87"/>
      <c r="D35" s="169"/>
      <c r="E35" s="169"/>
      <c r="F35" s="169"/>
      <c r="H35" s="169"/>
      <c r="I35" s="169"/>
      <c r="J35" s="169"/>
      <c r="K35" s="169"/>
    </row>
    <row r="36" spans="1:11" ht="39" x14ac:dyDescent="0.3">
      <c r="A36" s="160" t="s">
        <v>19</v>
      </c>
      <c r="B36" s="171" t="s">
        <v>31</v>
      </c>
      <c r="C36" s="172" t="s">
        <v>129</v>
      </c>
      <c r="D36" s="172" t="s">
        <v>107</v>
      </c>
      <c r="E36" s="163" t="s">
        <v>108</v>
      </c>
      <c r="F36" s="163" t="s">
        <v>109</v>
      </c>
      <c r="G36" s="333" t="s">
        <v>38</v>
      </c>
      <c r="H36" s="334"/>
      <c r="I36" s="334"/>
      <c r="J36" s="334"/>
      <c r="K36" s="335"/>
    </row>
    <row r="37" spans="1:11" ht="15" customHeight="1" x14ac:dyDescent="0.25">
      <c r="A37" s="198" t="str">
        <f>'Renewables Report'!A67</f>
        <v>Condon Phase II</v>
      </c>
      <c r="B37" s="199" t="str">
        <f>'Renewables Report'!B67</f>
        <v>W833</v>
      </c>
      <c r="C37" s="200">
        <f>'Renewables Report'!C67</f>
        <v>2015</v>
      </c>
      <c r="D37" s="184">
        <f>'Renewables Report'!G67</f>
        <v>434</v>
      </c>
      <c r="E37" s="178">
        <v>0</v>
      </c>
      <c r="F37" s="210">
        <f>IF(D37&gt;0,E37/D37,"")</f>
        <v>0</v>
      </c>
      <c r="G37" s="173"/>
      <c r="H37" s="79"/>
      <c r="I37" s="79"/>
      <c r="J37" s="79"/>
      <c r="K37" s="174"/>
    </row>
    <row r="38" spans="1:11" ht="15" customHeight="1" x14ac:dyDescent="0.25">
      <c r="A38" s="201" t="str">
        <f>'Renewables Report'!A68</f>
        <v xml:space="preserve">Condon Phase I </v>
      </c>
      <c r="B38" s="202" t="str">
        <f>'Renewables Report'!B68</f>
        <v>W774</v>
      </c>
      <c r="C38" s="203">
        <f>'Renewables Report'!C68</f>
        <v>2015</v>
      </c>
      <c r="D38" s="187">
        <f>'Renewables Report'!G68</f>
        <v>381</v>
      </c>
      <c r="E38" s="179">
        <v>0</v>
      </c>
      <c r="F38" s="211">
        <f t="shared" ref="F38:F61" si="3">IF(D38&gt;0,E38/D38,"")</f>
        <v>0</v>
      </c>
      <c r="G38" s="173"/>
      <c r="H38" s="79"/>
      <c r="I38" s="79"/>
      <c r="J38" s="79"/>
      <c r="K38" s="174"/>
    </row>
    <row r="39" spans="1:11" ht="15" customHeight="1" x14ac:dyDescent="0.25">
      <c r="A39" s="201" t="str">
        <f>'Renewables Report'!A69</f>
        <v>Stateline</v>
      </c>
      <c r="B39" s="202" t="str">
        <f>'Renewables Report'!B69</f>
        <v>W248</v>
      </c>
      <c r="C39" s="203">
        <f>'Renewables Report'!C69</f>
        <v>2015</v>
      </c>
      <c r="D39" s="187">
        <f>'Renewables Report'!G69</f>
        <v>1438</v>
      </c>
      <c r="E39" s="179">
        <v>0</v>
      </c>
      <c r="F39" s="211">
        <f t="shared" si="3"/>
        <v>0</v>
      </c>
      <c r="G39" s="173"/>
      <c r="H39" s="79"/>
      <c r="I39" s="79"/>
      <c r="J39" s="79"/>
      <c r="K39" s="174"/>
    </row>
    <row r="40" spans="1:11" ht="15" customHeight="1" x14ac:dyDescent="0.25">
      <c r="A40" s="201" t="str">
        <f>'Renewables Report'!A70</f>
        <v>Klondike III</v>
      </c>
      <c r="B40" s="202" t="str">
        <f>'Renewables Report'!B70</f>
        <v>W237</v>
      </c>
      <c r="C40" s="203">
        <f>'Renewables Report'!C70</f>
        <v>2015</v>
      </c>
      <c r="D40" s="187">
        <f>'Renewables Report'!G70</f>
        <v>1035</v>
      </c>
      <c r="E40" s="179">
        <v>0</v>
      </c>
      <c r="F40" s="211">
        <f t="shared" si="3"/>
        <v>0</v>
      </c>
      <c r="G40" s="173"/>
      <c r="H40" s="79"/>
      <c r="I40" s="79"/>
      <c r="J40" s="79"/>
      <c r="K40" s="174"/>
    </row>
    <row r="41" spans="1:11" ht="15" customHeight="1" x14ac:dyDescent="0.25">
      <c r="A41" s="201" t="str">
        <f>'Renewables Report'!A71</f>
        <v xml:space="preserve">Klondike I   </v>
      </c>
      <c r="B41" s="202" t="str">
        <f>'Renewables Report'!B71</f>
        <v>W238</v>
      </c>
      <c r="C41" s="203">
        <f>'Renewables Report'!C71</f>
        <v>2015</v>
      </c>
      <c r="D41" s="187">
        <f>'Renewables Report'!G71</f>
        <v>507</v>
      </c>
      <c r="E41" s="179">
        <v>0</v>
      </c>
      <c r="F41" s="211">
        <f t="shared" si="3"/>
        <v>0</v>
      </c>
      <c r="G41" s="173"/>
      <c r="H41" s="79"/>
      <c r="I41" s="79"/>
      <c r="J41" s="79"/>
      <c r="K41" s="174"/>
    </row>
    <row r="42" spans="1:11" ht="15" customHeight="1" x14ac:dyDescent="0.25">
      <c r="A42" s="201" t="str">
        <f>'Renewables Report'!A72</f>
        <v>Roseburg LFG</v>
      </c>
      <c r="B42" s="202" t="str">
        <f>'Renewables Report'!B72</f>
        <v>W2616</v>
      </c>
      <c r="C42" s="203">
        <f>'Renewables Report'!C72</f>
        <v>2015</v>
      </c>
      <c r="D42" s="187">
        <f>'Renewables Report'!G72</f>
        <v>11173</v>
      </c>
      <c r="E42" s="179">
        <f>+D42*15</f>
        <v>167595</v>
      </c>
      <c r="F42" s="211">
        <f t="shared" si="3"/>
        <v>15</v>
      </c>
      <c r="G42" s="173"/>
      <c r="H42" s="79"/>
      <c r="I42" s="79"/>
      <c r="J42" s="79"/>
      <c r="K42" s="174"/>
    </row>
    <row r="43" spans="1:11" ht="15" customHeight="1" x14ac:dyDescent="0.25">
      <c r="A43" s="201" t="str">
        <f>'Renewables Report'!A73</f>
        <v>Dry Creek Dairy Digester</v>
      </c>
      <c r="B43" s="202" t="str">
        <f>'Renewables Report'!B73</f>
        <v>W388</v>
      </c>
      <c r="C43" s="203">
        <f>'Renewables Report'!C73</f>
        <v>2016</v>
      </c>
      <c r="D43" s="187">
        <f>'Renewables Report'!G73</f>
        <v>9298</v>
      </c>
      <c r="E43" s="179">
        <f>+D43*13</f>
        <v>120874</v>
      </c>
      <c r="F43" s="211">
        <f t="shared" si="3"/>
        <v>13</v>
      </c>
      <c r="G43" s="173"/>
      <c r="H43" s="79"/>
      <c r="I43" s="79"/>
      <c r="J43" s="79"/>
      <c r="K43" s="174"/>
    </row>
    <row r="44" spans="1:11" ht="15" customHeight="1" x14ac:dyDescent="0.25">
      <c r="A44" s="201" t="str">
        <f>'Renewables Report'!A74</f>
        <v>Big Sky Dairy Digester</v>
      </c>
      <c r="B44" s="202" t="str">
        <f>'Renewables Report'!B74</f>
        <v>W1814</v>
      </c>
      <c r="C44" s="203">
        <f>'Renewables Report'!C74</f>
        <v>2016</v>
      </c>
      <c r="D44" s="187">
        <f>'Renewables Report'!G74</f>
        <v>5122</v>
      </c>
      <c r="E44" s="179">
        <f>+D44*15.13</f>
        <v>77495.86</v>
      </c>
      <c r="F44" s="211">
        <f t="shared" si="3"/>
        <v>15.13</v>
      </c>
      <c r="G44" s="173"/>
      <c r="H44" s="79"/>
      <c r="I44" s="79"/>
      <c r="J44" s="79"/>
      <c r="K44" s="174"/>
    </row>
    <row r="45" spans="1:11" ht="15" customHeight="1" x14ac:dyDescent="0.25">
      <c r="A45" s="201">
        <f>'Renewables Report'!A75</f>
        <v>0</v>
      </c>
      <c r="B45" s="202">
        <f>'Renewables Report'!B75</f>
        <v>0</v>
      </c>
      <c r="C45" s="203">
        <f>'Renewables Report'!C75</f>
        <v>0</v>
      </c>
      <c r="D45" s="187">
        <f>'Renewables Report'!G75</f>
        <v>0</v>
      </c>
      <c r="E45" s="179"/>
      <c r="F45" s="211" t="str">
        <f t="shared" si="3"/>
        <v/>
      </c>
      <c r="G45" s="173"/>
      <c r="H45" s="79"/>
      <c r="I45" s="79"/>
      <c r="J45" s="79"/>
      <c r="K45" s="174"/>
    </row>
    <row r="46" spans="1:11" ht="15" customHeight="1" x14ac:dyDescent="0.25">
      <c r="A46" s="201">
        <f>'Renewables Report'!A76</f>
        <v>0</v>
      </c>
      <c r="B46" s="202">
        <f>'Renewables Report'!B76</f>
        <v>0</v>
      </c>
      <c r="C46" s="203">
        <f>'Renewables Report'!C76</f>
        <v>0</v>
      </c>
      <c r="D46" s="187">
        <f>'Renewables Report'!G76</f>
        <v>0</v>
      </c>
      <c r="E46" s="179"/>
      <c r="F46" s="211" t="str">
        <f t="shared" si="3"/>
        <v/>
      </c>
      <c r="G46" s="173"/>
      <c r="H46" s="79"/>
      <c r="I46" s="79"/>
      <c r="J46" s="79"/>
      <c r="K46" s="174"/>
    </row>
    <row r="47" spans="1:11" ht="15" customHeight="1" x14ac:dyDescent="0.25">
      <c r="A47" s="201">
        <f>'Renewables Report'!A77</f>
        <v>0</v>
      </c>
      <c r="B47" s="202">
        <f>'Renewables Report'!B77</f>
        <v>0</v>
      </c>
      <c r="C47" s="203">
        <f>'Renewables Report'!C77</f>
        <v>0</v>
      </c>
      <c r="D47" s="187">
        <f>'Renewables Report'!G77</f>
        <v>0</v>
      </c>
      <c r="E47" s="179"/>
      <c r="F47" s="211" t="str">
        <f t="shared" si="3"/>
        <v/>
      </c>
      <c r="G47" s="173"/>
      <c r="H47" s="79"/>
      <c r="I47" s="79"/>
      <c r="J47" s="79"/>
      <c r="K47" s="174"/>
    </row>
    <row r="48" spans="1:11" ht="15" customHeight="1" x14ac:dyDescent="0.25">
      <c r="A48" s="201">
        <f>'Renewables Report'!A78</f>
        <v>0</v>
      </c>
      <c r="B48" s="202">
        <f>'Renewables Report'!B78</f>
        <v>0</v>
      </c>
      <c r="C48" s="203">
        <f>'Renewables Report'!C78</f>
        <v>0</v>
      </c>
      <c r="D48" s="187">
        <f>'Renewables Report'!G78</f>
        <v>0</v>
      </c>
      <c r="E48" s="179"/>
      <c r="F48" s="211" t="str">
        <f t="shared" si="3"/>
        <v/>
      </c>
      <c r="G48" s="173"/>
      <c r="H48" s="79"/>
      <c r="I48" s="79"/>
      <c r="J48" s="79"/>
      <c r="K48" s="174"/>
    </row>
    <row r="49" spans="1:11" ht="15" customHeight="1" x14ac:dyDescent="0.25">
      <c r="A49" s="201">
        <f>'Renewables Report'!A79</f>
        <v>0</v>
      </c>
      <c r="B49" s="202">
        <f>'Renewables Report'!B79</f>
        <v>0</v>
      </c>
      <c r="C49" s="203">
        <f>'Renewables Report'!C79</f>
        <v>0</v>
      </c>
      <c r="D49" s="187">
        <f>'Renewables Report'!G79</f>
        <v>0</v>
      </c>
      <c r="E49" s="179"/>
      <c r="F49" s="211" t="str">
        <f t="shared" si="3"/>
        <v/>
      </c>
      <c r="G49" s="173"/>
      <c r="H49" s="79"/>
      <c r="I49" s="79"/>
      <c r="J49" s="79"/>
      <c r="K49" s="174"/>
    </row>
    <row r="50" spans="1:11" ht="15" customHeight="1" x14ac:dyDescent="0.25">
      <c r="A50" s="201">
        <f>'Renewables Report'!A80</f>
        <v>0</v>
      </c>
      <c r="B50" s="202">
        <f>'Renewables Report'!B80</f>
        <v>0</v>
      </c>
      <c r="C50" s="203">
        <f>'Renewables Report'!C80</f>
        <v>0</v>
      </c>
      <c r="D50" s="187">
        <f>'Renewables Report'!G80</f>
        <v>0</v>
      </c>
      <c r="E50" s="179"/>
      <c r="F50" s="211" t="str">
        <f t="shared" si="3"/>
        <v/>
      </c>
      <c r="G50" s="173"/>
      <c r="H50" s="79"/>
      <c r="I50" s="79"/>
      <c r="J50" s="79"/>
      <c r="K50" s="174"/>
    </row>
    <row r="51" spans="1:11" ht="15" customHeight="1" x14ac:dyDescent="0.25">
      <c r="A51" s="201">
        <f>'Renewables Report'!A81</f>
        <v>0</v>
      </c>
      <c r="B51" s="202">
        <f>'Renewables Report'!B81</f>
        <v>0</v>
      </c>
      <c r="C51" s="203">
        <f>'Renewables Report'!C81</f>
        <v>0</v>
      </c>
      <c r="D51" s="187">
        <f>'Renewables Report'!G81</f>
        <v>0</v>
      </c>
      <c r="E51" s="179"/>
      <c r="F51" s="211" t="str">
        <f t="shared" si="3"/>
        <v/>
      </c>
      <c r="G51" s="173"/>
      <c r="H51" s="79"/>
      <c r="I51" s="79"/>
      <c r="J51" s="79"/>
      <c r="K51" s="174"/>
    </row>
    <row r="52" spans="1:11" ht="15" customHeight="1" x14ac:dyDescent="0.25">
      <c r="A52" s="201">
        <f>'Renewables Report'!A82</f>
        <v>0</v>
      </c>
      <c r="B52" s="202">
        <f>'Renewables Report'!B82</f>
        <v>0</v>
      </c>
      <c r="C52" s="203">
        <f>'Renewables Report'!C82</f>
        <v>0</v>
      </c>
      <c r="D52" s="187">
        <f>'Renewables Report'!G82</f>
        <v>0</v>
      </c>
      <c r="E52" s="179"/>
      <c r="F52" s="211" t="str">
        <f t="shared" si="3"/>
        <v/>
      </c>
      <c r="G52" s="173"/>
      <c r="H52" s="79"/>
      <c r="I52" s="79"/>
      <c r="J52" s="79"/>
      <c r="K52" s="174"/>
    </row>
    <row r="53" spans="1:11" ht="15" customHeight="1" x14ac:dyDescent="0.25">
      <c r="A53" s="201">
        <f>'Renewables Report'!A83</f>
        <v>0</v>
      </c>
      <c r="B53" s="202">
        <f>'Renewables Report'!B83</f>
        <v>0</v>
      </c>
      <c r="C53" s="203">
        <f>'Renewables Report'!C83</f>
        <v>0</v>
      </c>
      <c r="D53" s="187">
        <f>'Renewables Report'!G83</f>
        <v>0</v>
      </c>
      <c r="E53" s="179"/>
      <c r="F53" s="211" t="str">
        <f t="shared" si="3"/>
        <v/>
      </c>
      <c r="G53" s="173"/>
      <c r="H53" s="79"/>
      <c r="I53" s="79"/>
      <c r="J53" s="79"/>
      <c r="K53" s="174"/>
    </row>
    <row r="54" spans="1:11" ht="15" customHeight="1" x14ac:dyDescent="0.25">
      <c r="A54" s="201">
        <f>'Renewables Report'!A84</f>
        <v>0</v>
      </c>
      <c r="B54" s="202">
        <f>'Renewables Report'!B84</f>
        <v>0</v>
      </c>
      <c r="C54" s="203">
        <f>'Renewables Report'!C84</f>
        <v>0</v>
      </c>
      <c r="D54" s="187">
        <f>'Renewables Report'!G84</f>
        <v>0</v>
      </c>
      <c r="E54" s="179"/>
      <c r="F54" s="211" t="str">
        <f t="shared" si="3"/>
        <v/>
      </c>
      <c r="G54" s="173"/>
      <c r="H54" s="79"/>
      <c r="I54" s="79"/>
      <c r="J54" s="79"/>
      <c r="K54" s="174"/>
    </row>
    <row r="55" spans="1:11" ht="15" customHeight="1" x14ac:dyDescent="0.25">
      <c r="A55" s="201">
        <f>'Renewables Report'!A85</f>
        <v>0</v>
      </c>
      <c r="B55" s="202">
        <f>'Renewables Report'!B85</f>
        <v>0</v>
      </c>
      <c r="C55" s="203">
        <f>'Renewables Report'!C85</f>
        <v>0</v>
      </c>
      <c r="D55" s="187">
        <f>'Renewables Report'!G85</f>
        <v>0</v>
      </c>
      <c r="E55" s="179"/>
      <c r="F55" s="211" t="str">
        <f t="shared" si="3"/>
        <v/>
      </c>
      <c r="G55" s="173"/>
      <c r="H55" s="79"/>
      <c r="I55" s="79"/>
      <c r="J55" s="79"/>
      <c r="K55" s="174"/>
    </row>
    <row r="56" spans="1:11" ht="15" customHeight="1" x14ac:dyDescent="0.25">
      <c r="A56" s="201">
        <f>'Renewables Report'!A86</f>
        <v>0</v>
      </c>
      <c r="B56" s="202">
        <f>'Renewables Report'!B86</f>
        <v>0</v>
      </c>
      <c r="C56" s="203">
        <f>'Renewables Report'!C86</f>
        <v>0</v>
      </c>
      <c r="D56" s="187">
        <f>'Renewables Report'!G86</f>
        <v>0</v>
      </c>
      <c r="E56" s="179"/>
      <c r="F56" s="211" t="str">
        <f t="shared" si="3"/>
        <v/>
      </c>
      <c r="G56" s="173"/>
      <c r="H56" s="79"/>
      <c r="I56" s="79"/>
      <c r="J56" s="79"/>
      <c r="K56" s="174"/>
    </row>
    <row r="57" spans="1:11" ht="15" customHeight="1" x14ac:dyDescent="0.25">
      <c r="A57" s="201">
        <f>'Renewables Report'!A87</f>
        <v>0</v>
      </c>
      <c r="B57" s="202">
        <f>'Renewables Report'!B87</f>
        <v>0</v>
      </c>
      <c r="C57" s="203">
        <f>'Renewables Report'!C87</f>
        <v>0</v>
      </c>
      <c r="D57" s="187">
        <f>'Renewables Report'!G87</f>
        <v>0</v>
      </c>
      <c r="E57" s="179"/>
      <c r="F57" s="211" t="str">
        <f t="shared" si="3"/>
        <v/>
      </c>
      <c r="G57" s="173"/>
      <c r="H57" s="79"/>
      <c r="I57" s="79"/>
      <c r="J57" s="79"/>
      <c r="K57" s="174"/>
    </row>
    <row r="58" spans="1:11" ht="15" customHeight="1" x14ac:dyDescent="0.25">
      <c r="A58" s="201">
        <f>'Renewables Report'!A88</f>
        <v>0</v>
      </c>
      <c r="B58" s="202">
        <f>'Renewables Report'!B88</f>
        <v>0</v>
      </c>
      <c r="C58" s="203">
        <f>'Renewables Report'!C88</f>
        <v>0</v>
      </c>
      <c r="D58" s="187">
        <f>'Renewables Report'!G88</f>
        <v>0</v>
      </c>
      <c r="E58" s="179"/>
      <c r="F58" s="211" t="str">
        <f t="shared" si="3"/>
        <v/>
      </c>
      <c r="G58" s="173"/>
      <c r="H58" s="79"/>
      <c r="I58" s="79"/>
      <c r="J58" s="79"/>
      <c r="K58" s="174"/>
    </row>
    <row r="59" spans="1:11" ht="15" customHeight="1" x14ac:dyDescent="0.25">
      <c r="A59" s="201">
        <f>'Renewables Report'!A89</f>
        <v>0</v>
      </c>
      <c r="B59" s="202">
        <f>'Renewables Report'!B89</f>
        <v>0</v>
      </c>
      <c r="C59" s="203">
        <f>'Renewables Report'!C89</f>
        <v>0</v>
      </c>
      <c r="D59" s="187">
        <f>'Renewables Report'!G89</f>
        <v>0</v>
      </c>
      <c r="E59" s="179"/>
      <c r="F59" s="211" t="str">
        <f t="shared" si="3"/>
        <v/>
      </c>
      <c r="G59" s="173"/>
      <c r="H59" s="79"/>
      <c r="I59" s="79"/>
      <c r="J59" s="79"/>
      <c r="K59" s="174"/>
    </row>
    <row r="60" spans="1:11" ht="15" customHeight="1" x14ac:dyDescent="0.25">
      <c r="A60" s="201">
        <f>'Renewables Report'!A90</f>
        <v>0</v>
      </c>
      <c r="B60" s="202">
        <f>'Renewables Report'!B90</f>
        <v>0</v>
      </c>
      <c r="C60" s="203">
        <f>'Renewables Report'!C90</f>
        <v>0</v>
      </c>
      <c r="D60" s="187">
        <f>'Renewables Report'!G90</f>
        <v>0</v>
      </c>
      <c r="E60" s="179"/>
      <c r="F60" s="211" t="str">
        <f t="shared" si="3"/>
        <v/>
      </c>
      <c r="G60" s="173"/>
      <c r="H60" s="79"/>
      <c r="I60" s="79"/>
      <c r="J60" s="79"/>
      <c r="K60" s="174"/>
    </row>
    <row r="61" spans="1:11" ht="15" customHeight="1" x14ac:dyDescent="0.25">
      <c r="A61" s="204">
        <f>'Renewables Report'!A91</f>
        <v>0</v>
      </c>
      <c r="B61" s="205">
        <f>'Renewables Report'!B91</f>
        <v>0</v>
      </c>
      <c r="C61" s="206">
        <f>'Renewables Report'!C91</f>
        <v>0</v>
      </c>
      <c r="D61" s="207">
        <f>'Renewables Report'!G91</f>
        <v>0</v>
      </c>
      <c r="E61" s="180"/>
      <c r="F61" s="212" t="str">
        <f t="shared" si="3"/>
        <v/>
      </c>
      <c r="G61" s="173"/>
      <c r="H61" s="79"/>
      <c r="I61" s="79"/>
      <c r="J61" s="79"/>
      <c r="K61" s="174"/>
    </row>
    <row r="62" spans="1:11" ht="15" customHeight="1" x14ac:dyDescent="0.3">
      <c r="A62" s="191" t="s">
        <v>6</v>
      </c>
      <c r="B62" s="208"/>
      <c r="C62" s="208"/>
      <c r="D62" s="209"/>
      <c r="E62" s="196">
        <f>SUM(E37:E61)</f>
        <v>365964.86</v>
      </c>
      <c r="F62" s="209"/>
      <c r="G62" s="175"/>
      <c r="H62" s="176"/>
      <c r="I62" s="176"/>
      <c r="J62" s="176"/>
      <c r="K62" s="177"/>
    </row>
  </sheetData>
  <mergeCells count="29">
    <mergeCell ref="F19:H19"/>
    <mergeCell ref="F20:H20"/>
    <mergeCell ref="F21:H21"/>
    <mergeCell ref="F14:H14"/>
    <mergeCell ref="F15:H15"/>
    <mergeCell ref="F16:H16"/>
    <mergeCell ref="F17:H17"/>
    <mergeCell ref="F18:H18"/>
    <mergeCell ref="F9:H9"/>
    <mergeCell ref="F10:H10"/>
    <mergeCell ref="F11:H11"/>
    <mergeCell ref="F12:H12"/>
    <mergeCell ref="F13:H13"/>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s>
  <pageMargins left="0.7" right="0.7" top="0.75" bottom="0.75" header="0.3" footer="0.3"/>
  <pageSetup scale="79" fitToHeight="0" orientation="landscape" r:id="rId1"/>
  <rowBreaks count="1" manualBreakCount="1">
    <brk id="30"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4.5" x14ac:dyDescent="0.35"/>
  <cols>
    <col min="1" max="1" width="36.08984375" bestFit="1" customWidth="1"/>
    <col min="3" max="3" width="36.08984375" bestFit="1" customWidth="1"/>
    <col min="12" max="12" width="10.54296875" customWidth="1"/>
  </cols>
  <sheetData>
    <row r="1" spans="1:86" x14ac:dyDescent="0.35">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x14ac:dyDescent="0.35">
      <c r="A2" t="str">
        <f>REN_Utility_Name</f>
        <v>PUD #1 of Clallam County</v>
      </c>
      <c r="B2">
        <f>+CON_2014_Agriculture_Expend</f>
        <v>0</v>
      </c>
      <c r="C2">
        <f>+CON_2014_Agriculture_MWH</f>
        <v>0</v>
      </c>
      <c r="D2">
        <f>+CON_2014_Commercial_Expend</f>
        <v>178712.65286685043</v>
      </c>
      <c r="E2">
        <f>+CON_2014_Commercial_MWH</f>
        <v>511.42236999999994</v>
      </c>
      <c r="F2">
        <f>+CON_2014_Distribution_Expend</f>
        <v>39911.78</v>
      </c>
      <c r="G2">
        <f>+CON_2014_Distribution_MWH</f>
        <v>887.41266000000007</v>
      </c>
      <c r="H2">
        <f>+CON_2014_Expenditures</f>
        <v>1185049.1065016512</v>
      </c>
      <c r="I2">
        <f>+CON_2014_Industrial_Expend</f>
        <v>13781.459187293616</v>
      </c>
      <c r="J2">
        <f>+CON_2014_Industrial_MWH</f>
        <v>20.540290000000002</v>
      </c>
      <c r="K2">
        <f>+CON_2014_MWH</f>
        <v>6453.4965560000001</v>
      </c>
      <c r="L2">
        <f>+CON_2014_NEEA_Expend</f>
        <v>0</v>
      </c>
      <c r="M2">
        <f>+CON_2014_NEEA_MWH</f>
        <v>2893.1280000000002</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0</v>
      </c>
      <c r="U2">
        <f>+CON_2014_Program2_Expend</f>
        <v>0</v>
      </c>
      <c r="V2">
        <f>+CON_2014_Residential_Expend</f>
        <v>952643.21444750705</v>
      </c>
      <c r="W2">
        <f>+CON_2014_Residential_MWH</f>
        <v>2140.9932360000007</v>
      </c>
      <c r="X2">
        <f>+CON_2015_Agriculture_Expend</f>
        <v>0</v>
      </c>
      <c r="Y2">
        <f>+CON_2015_Agriculture_MWH</f>
        <v>0</v>
      </c>
      <c r="Z2">
        <f>+CON_2015_Commercial_Expend</f>
        <v>289751.17569522146</v>
      </c>
      <c r="AA2">
        <f>+CON_2015_Commercial_MWH</f>
        <v>1158.4226773280002</v>
      </c>
      <c r="AB2">
        <f>+CON_2015_Distribution_Expend</f>
        <v>33080.32</v>
      </c>
      <c r="AC2">
        <f>+CON_2015_Distribution_MWH</f>
        <v>436.73521999999997</v>
      </c>
      <c r="AD2">
        <f>+CON_2015_Expenditures</f>
        <v>1950612.9679545891</v>
      </c>
      <c r="AE2">
        <f>+CON_2015_Industrial_Expend</f>
        <v>12562.544005676391</v>
      </c>
      <c r="AF2">
        <f>+CON_2015_Industrial_MWH</f>
        <v>9.3471899999999994</v>
      </c>
      <c r="AG2">
        <f>+CON_2015_MWH</f>
        <v>11699.432551328</v>
      </c>
      <c r="AH2">
        <f>+CON_2015_NEEA_Expend</f>
        <v>0</v>
      </c>
      <c r="AI2">
        <f>+CON_2015_NEEA_MWH</f>
        <v>2606.8760000000002</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0</v>
      </c>
      <c r="AQ2">
        <f>+CON_2015_Program2_Expend</f>
        <v>0</v>
      </c>
      <c r="AR2">
        <f>+CON_2015_Residential_Expend</f>
        <v>1615218.9282536912</v>
      </c>
      <c r="AS2">
        <f>+CON_2015_Residential_MWH</f>
        <v>7488.0514639999983</v>
      </c>
      <c r="AT2" t="str">
        <f>+CON_Contact_Name</f>
        <v>Fred Mtichel/ / Utility Services</v>
      </c>
      <c r="AU2" t="str">
        <f>+CON_Email</f>
        <v>FredM@ClallamPUD.net</v>
      </c>
      <c r="AV2" t="str">
        <f>+CON_Phone</f>
        <v>360.565.3235</v>
      </c>
      <c r="AW2">
        <f>+CON_Potential_2015_2023</f>
        <v>60268.799999999996</v>
      </c>
      <c r="AX2">
        <f>+CON_Potential_2016_2025</f>
        <v>35478</v>
      </c>
      <c r="AY2">
        <f>+CON_Report_Date</f>
        <v>42517</v>
      </c>
      <c r="AZ2">
        <f>+CON_Target_2014_2015</f>
        <v>12088.8</v>
      </c>
      <c r="BA2">
        <f>+CON_Target_2016_2017</f>
        <v>7008</v>
      </c>
      <c r="BB2" t="str">
        <f>+CON_Utility_Name</f>
        <v>PUD No. 1 of Clallam County</v>
      </c>
      <c r="BC2" t="str">
        <f>+REN_Contact_Name</f>
        <v>Fred Mitchell/Power Resources</v>
      </c>
      <c r="BD2" t="str">
        <f>+REN_Email</f>
        <v>fredm@clallampud.net</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0</v>
      </c>
      <c r="BN2">
        <f>+REN_ERR_Wind</f>
        <v>0</v>
      </c>
      <c r="BO2">
        <f>+REN_ERR_WOT</f>
        <v>0</v>
      </c>
      <c r="BP2">
        <f>+REN_Expenditure_Amount_2016</f>
        <v>365964.86</v>
      </c>
      <c r="BQ2">
        <f>+REN_Expenditure_Percent_2016</f>
        <v>6.2124419490437481E-3</v>
      </c>
      <c r="BR2">
        <f>+REN_Load_2014</f>
        <v>624052</v>
      </c>
      <c r="BS2">
        <f>+REN_Load_2015</f>
        <v>597742</v>
      </c>
      <c r="BT2">
        <f>+REN_REC_ApprenticeLabor</f>
        <v>0</v>
      </c>
      <c r="BU2">
        <f>+REN_REC_Biodiesel</f>
        <v>0</v>
      </c>
      <c r="BV2">
        <f>+REN_REC_Biomass</f>
        <v>25593</v>
      </c>
      <c r="BW2">
        <f>+REN_REC_DistributedGeneration</f>
        <v>25593</v>
      </c>
      <c r="BX2">
        <f>+REN_REC_Geothermal</f>
        <v>0</v>
      </c>
      <c r="BY2">
        <f>+REN_REC_LandfillGas</f>
        <v>0</v>
      </c>
      <c r="BZ2">
        <f>REN_REC_QBE</f>
        <v>0</v>
      </c>
      <c r="CA2">
        <f>+REN_REC_SewageGas</f>
        <v>0</v>
      </c>
      <c r="CB2">
        <f>+REN_REC_Solar</f>
        <v>0</v>
      </c>
      <c r="CC2">
        <f>+REN_REC_Wind</f>
        <v>3795</v>
      </c>
      <c r="CD2">
        <f>+REN_REC_WOT</f>
        <v>0</v>
      </c>
      <c r="CE2">
        <f>+REN_RetailRevenueRequirement_2016</f>
        <v>58908375</v>
      </c>
      <c r="CF2">
        <f>+REN_Submittal_Date</f>
        <v>42517</v>
      </c>
      <c r="CG2">
        <f>+REN_Total_2016</f>
        <v>54981</v>
      </c>
      <c r="CH2" t="str">
        <f>+REN_Utility_Name</f>
        <v>PUD #1 of Clallam County</v>
      </c>
    </row>
    <row r="6" spans="1:86" x14ac:dyDescent="0.35">
      <c r="A6" s="14" t="s">
        <v>14</v>
      </c>
    </row>
    <row r="7" spans="1:86" x14ac:dyDescent="0.35">
      <c r="A7" s="14" t="s">
        <v>15</v>
      </c>
    </row>
    <row r="8" spans="1:86" x14ac:dyDescent="0.35">
      <c r="A8" s="14" t="s">
        <v>173</v>
      </c>
    </row>
    <row r="9" spans="1:86" x14ac:dyDescent="0.35">
      <c r="A9" s="14" t="s">
        <v>176</v>
      </c>
    </row>
    <row r="10" spans="1:86" x14ac:dyDescent="0.35">
      <c r="A10" s="14" t="s">
        <v>177</v>
      </c>
    </row>
    <row r="11" spans="1:86" x14ac:dyDescent="0.35">
      <c r="A11" s="14" t="s">
        <v>174</v>
      </c>
    </row>
    <row r="12" spans="1:86" x14ac:dyDescent="0.35">
      <c r="A12" s="14" t="s">
        <v>16</v>
      </c>
    </row>
    <row r="13" spans="1:86" x14ac:dyDescent="0.35">
      <c r="A13" s="14" t="s">
        <v>23</v>
      </c>
    </row>
    <row r="14" spans="1:86" x14ac:dyDescent="0.35">
      <c r="A14" s="14" t="s">
        <v>17</v>
      </c>
    </row>
    <row r="15" spans="1:86" x14ac:dyDescent="0.35">
      <c r="A15" s="14" t="s">
        <v>172</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D3D990A2-8767-4D0B-8F44-86F7215956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134EF7-F04D-4218-953F-7A835D8EE7C1}">
  <ds:schemaRefs>
    <ds:schemaRef ds:uri="http://schemas.microsoft.com/sharepoint/v3"/>
    <ds:schemaRef ds:uri="http://schemas.microsoft.com/office/2006/metadata/properties"/>
    <ds:schemaRef ds:uri="http://purl.org/dc/elements/1.1/"/>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94</vt:i4>
      </vt:variant>
    </vt:vector>
  </HeadingPairs>
  <TitlesOfParts>
    <vt:vector size="101" baseType="lpstr">
      <vt:lpstr>Background</vt:lpstr>
      <vt:lpstr>Instructions - Revise 2014</vt:lpstr>
      <vt:lpstr>Revised Renewables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REN_Expenditure_Amount_2014</vt:lpstr>
      <vt:lpstr>REN_Expenditure_Amount_2016</vt:lpstr>
      <vt:lpstr>REN_Expenditure_Percent_2016</vt:lpstr>
      <vt:lpstr>REN_Load_2012</vt:lpstr>
      <vt:lpstr>REN_Load_2013</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REN_RetailRevenueRequirement_2014</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Tyler King x268</cp:lastModifiedBy>
  <cp:lastPrinted>2016-05-09T17:43:05Z</cp:lastPrinted>
  <dcterms:created xsi:type="dcterms:W3CDTF">2012-03-20T21:01:26Z</dcterms:created>
  <dcterms:modified xsi:type="dcterms:W3CDTF">2016-05-27T16:40:40Z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y fmtid="{D5CDD505-2E9C-101B-9397-08002B2CF9AE}" pid="9" name="_SharedFileIndex">
    <vt:lpwstr/>
  </property>
</Properties>
</file>