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I-937 compliance\2016 documentation\"/>
    </mc:Choice>
  </mc:AlternateContent>
  <bookViews>
    <workbookView xWindow="330" yWindow="30" windowWidth="15030" windowHeight="6015" tabRatio="719" activeTab="2"/>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Report'!$A$3:$K$62</definedName>
    <definedName name="_xlnm.Print_Area" localSheetId="3">'Renewables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52511"/>
</workbook>
</file>

<file path=xl/calcChain.xml><?xml version="1.0" encoding="utf-8"?>
<calcChain xmlns="http://schemas.openxmlformats.org/spreadsheetml/2006/main">
  <c r="F140" i="23" l="1"/>
  <c r="K98" i="23"/>
  <c r="L98" i="23"/>
  <c r="K97" i="23"/>
  <c r="K96" i="23"/>
  <c r="E97" i="23"/>
  <c r="E96" i="23"/>
  <c r="D97" i="23"/>
  <c r="D96" i="23"/>
  <c r="E98" i="23"/>
  <c r="D98" i="23"/>
  <c r="J96" i="23"/>
  <c r="I96" i="23"/>
  <c r="H96" i="23"/>
  <c r="N142" i="23"/>
  <c r="L142" i="23"/>
  <c r="F142" i="23"/>
  <c r="Q143" i="23" s="1"/>
  <c r="J99" i="23"/>
  <c r="I99" i="23"/>
  <c r="H99" i="23"/>
  <c r="N140" i="23"/>
  <c r="L140" i="23"/>
  <c r="F139" i="23"/>
  <c r="F138" i="23"/>
  <c r="N138" i="23"/>
  <c r="N139" i="23" s="1"/>
  <c r="L138" i="23"/>
  <c r="L139" i="23" s="1"/>
  <c r="J171" i="23"/>
  <c r="H171" i="23"/>
  <c r="F171" i="23"/>
  <c r="J98" i="23" l="1"/>
  <c r="I98" i="23"/>
  <c r="J170" i="23" l="1"/>
  <c r="H92" i="23"/>
  <c r="J172" i="23" l="1"/>
  <c r="D9" i="23"/>
  <c r="G93" i="23"/>
  <c r="E94" i="23" l="1"/>
  <c r="E95" i="23"/>
  <c r="D95" i="23"/>
  <c r="E93" i="23"/>
  <c r="H170" i="23"/>
  <c r="F170" i="23"/>
  <c r="I157" i="23"/>
  <c r="F98" i="23"/>
  <c r="H98" i="23"/>
  <c r="D93" i="23"/>
  <c r="C92" i="23"/>
  <c r="C97" i="23" l="1"/>
  <c r="J174" i="23"/>
  <c r="C96" i="23"/>
  <c r="C98" i="23" l="1"/>
  <c r="G8" i="18"/>
  <c r="I69" i="16"/>
  <c r="I70" i="16"/>
  <c r="I71" i="16"/>
  <c r="I72" i="16"/>
  <c r="I73" i="16"/>
  <c r="I74" i="16"/>
  <c r="I75" i="16"/>
  <c r="I76" i="16"/>
  <c r="I77" i="16"/>
  <c r="I78" i="16"/>
  <c r="I79" i="16"/>
  <c r="I80" i="16"/>
  <c r="I81" i="16"/>
  <c r="I82" i="16"/>
  <c r="I83" i="16"/>
  <c r="I84" i="16"/>
  <c r="I85" i="16"/>
  <c r="I86" i="16"/>
  <c r="I87" i="16"/>
  <c r="I88" i="16"/>
  <c r="I89" i="16"/>
  <c r="I90" i="16"/>
  <c r="I91" i="16"/>
  <c r="I68" i="16"/>
  <c r="I67" i="16"/>
  <c r="C18" i="16"/>
  <c r="C20" i="16" s="1"/>
  <c r="D39" i="23"/>
  <c r="E39" i="23" s="1"/>
  <c r="D40" i="23"/>
  <c r="E40" i="23" s="1"/>
  <c r="D41" i="23"/>
  <c r="E41" i="23" s="1"/>
  <c r="D42" i="23"/>
  <c r="E42" i="23" s="1"/>
  <c r="D43" i="23"/>
  <c r="E43" i="23" s="1"/>
  <c r="D44" i="23"/>
  <c r="E44" i="23" s="1"/>
  <c r="D45" i="23"/>
  <c r="E45" i="23" s="1"/>
  <c r="D46" i="23"/>
  <c r="E46" i="23" s="1"/>
  <c r="D47" i="23"/>
  <c r="E47" i="23" s="1"/>
  <c r="D48" i="23"/>
  <c r="E48" i="23" s="1"/>
  <c r="D49" i="23"/>
  <c r="E49" i="23" s="1"/>
  <c r="D50" i="23"/>
  <c r="E50" i="23" s="1"/>
  <c r="D51" i="23"/>
  <c r="D52" i="23"/>
  <c r="D53" i="23"/>
  <c r="D54" i="23"/>
  <c r="D55" i="23"/>
  <c r="E55" i="23" s="1"/>
  <c r="D56" i="23"/>
  <c r="D57" i="23"/>
  <c r="E57" i="23" s="1"/>
  <c r="D58" i="23"/>
  <c r="E58" i="23" s="1"/>
  <c r="D59" i="23"/>
  <c r="E59" i="23" s="1"/>
  <c r="D60" i="23"/>
  <c r="E92" i="23" s="1"/>
  <c r="F172" i="23" s="1"/>
  <c r="D61" i="23"/>
  <c r="D38" i="23"/>
  <c r="E38" i="23" s="1"/>
  <c r="D37" i="23"/>
  <c r="D92" i="23" s="1"/>
  <c r="C11" i="23"/>
  <c r="C12" i="23"/>
  <c r="C13" i="23"/>
  <c r="C14" i="23"/>
  <c r="C15" i="23"/>
  <c r="C16" i="23"/>
  <c r="C17" i="23"/>
  <c r="C18" i="23"/>
  <c r="C19" i="23"/>
  <c r="C20" i="23"/>
  <c r="C21" i="23"/>
  <c r="C22" i="23"/>
  <c r="C23" i="23"/>
  <c r="C24" i="23"/>
  <c r="C25" i="23"/>
  <c r="C26" i="23"/>
  <c r="C27" i="23"/>
  <c r="C28" i="23"/>
  <c r="C29" i="23"/>
  <c r="C10" i="23"/>
  <c r="C9" i="23"/>
  <c r="G92" i="23" s="1"/>
  <c r="E19" i="16"/>
  <c r="F19" i="16"/>
  <c r="G19" i="16"/>
  <c r="H19" i="16"/>
  <c r="I19" i="16"/>
  <c r="J19" i="16"/>
  <c r="K19" i="16"/>
  <c r="L19" i="16"/>
  <c r="BZ2" i="19" s="1"/>
  <c r="D19" i="16"/>
  <c r="D18" i="16"/>
  <c r="E18" i="16"/>
  <c r="F18" i="16"/>
  <c r="G18" i="16"/>
  <c r="H18" i="16"/>
  <c r="I18" i="16"/>
  <c r="J18" i="16"/>
  <c r="K18" i="16"/>
  <c r="L18" i="16"/>
  <c r="H91" i="16"/>
  <c r="H68" i="16"/>
  <c r="H69" i="16"/>
  <c r="H70" i="16"/>
  <c r="H71" i="16"/>
  <c r="H72" i="16"/>
  <c r="H73" i="16"/>
  <c r="H74" i="16"/>
  <c r="H75" i="16"/>
  <c r="H76" i="16"/>
  <c r="H77" i="16"/>
  <c r="H78" i="16"/>
  <c r="H79" i="16"/>
  <c r="H80" i="16"/>
  <c r="H81" i="16"/>
  <c r="H82" i="16"/>
  <c r="H83" i="16"/>
  <c r="H84" i="16"/>
  <c r="H85" i="16"/>
  <c r="H86" i="16"/>
  <c r="H87" i="16"/>
  <c r="H88" i="16"/>
  <c r="H89" i="16"/>
  <c r="H90" i="16"/>
  <c r="H67" i="16"/>
  <c r="F41" i="16"/>
  <c r="F42" i="16"/>
  <c r="F43" i="16"/>
  <c r="F44" i="16"/>
  <c r="F45" i="16"/>
  <c r="F46" i="16"/>
  <c r="F47" i="16"/>
  <c r="F48" i="16"/>
  <c r="F49" i="16"/>
  <c r="F50" i="16"/>
  <c r="F51" i="16"/>
  <c r="F52" i="16"/>
  <c r="F53" i="16"/>
  <c r="F54" i="16"/>
  <c r="F55" i="16"/>
  <c r="F56" i="16"/>
  <c r="F57" i="16"/>
  <c r="F58" i="16"/>
  <c r="F59" i="16"/>
  <c r="F60" i="16"/>
  <c r="F40" i="16"/>
  <c r="H172" i="23" l="1"/>
  <c r="H174" i="23" s="1"/>
  <c r="I9" i="23" s="1"/>
  <c r="G96" i="23"/>
  <c r="G98" i="23" s="1"/>
  <c r="G99" i="23" s="1"/>
  <c r="F174" i="23"/>
  <c r="Q175" i="23" s="1"/>
  <c r="BJ2" i="19"/>
  <c r="L20" i="16"/>
  <c r="M19" i="16"/>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E99" i="23" l="1"/>
  <c r="E60" i="23" s="1"/>
  <c r="I8" i="18"/>
  <c r="G31" i="18"/>
  <c r="AD2" i="19" s="1"/>
  <c r="F31" i="18"/>
  <c r="AG2" i="19" s="1"/>
  <c r="D99" i="23" l="1"/>
  <c r="E37" i="23" s="1"/>
  <c r="F37" i="23" s="1"/>
  <c r="F38" i="23"/>
  <c r="K9" i="23"/>
  <c r="F39" i="23"/>
  <c r="F40" i="23"/>
  <c r="F41" i="23"/>
  <c r="F42" i="23"/>
  <c r="F43" i="23"/>
  <c r="F44" i="23"/>
  <c r="F45" i="23"/>
  <c r="F46" i="23"/>
  <c r="F47" i="23"/>
  <c r="F48" i="23"/>
  <c r="F49" i="23"/>
  <c r="F50" i="23"/>
  <c r="F51" i="23"/>
  <c r="F52" i="23"/>
  <c r="F53" i="23"/>
  <c r="F54" i="23"/>
  <c r="F55" i="23"/>
  <c r="F56" i="23"/>
  <c r="F57" i="23"/>
  <c r="F58" i="23"/>
  <c r="F59" i="23"/>
  <c r="F60" i="23"/>
  <c r="F61" i="23"/>
  <c r="K29" i="23" l="1"/>
  <c r="K28" i="23"/>
  <c r="K27" i="23"/>
  <c r="K26" i="23"/>
  <c r="K25" i="23"/>
  <c r="K24" i="23"/>
  <c r="K23" i="23"/>
  <c r="K22" i="23"/>
  <c r="K21" i="23"/>
  <c r="K20" i="23"/>
  <c r="K19" i="23"/>
  <c r="K18" i="23"/>
  <c r="K17" i="23"/>
  <c r="K16" i="23"/>
  <c r="K15" i="23"/>
  <c r="K14" i="23"/>
  <c r="K13" i="23"/>
  <c r="K12" i="23"/>
  <c r="K11" i="23"/>
  <c r="K10" i="23"/>
  <c r="E62" i="23" l="1"/>
  <c r="C61" i="23"/>
  <c r="B61" i="23"/>
  <c r="C60" i="23"/>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C38" i="23"/>
  <c r="B38" i="23"/>
  <c r="C37" i="23"/>
  <c r="B37" i="23"/>
  <c r="A61" i="23"/>
  <c r="A60" i="23"/>
  <c r="A59" i="23"/>
  <c r="A58" i="23"/>
  <c r="A57" i="23"/>
  <c r="A56" i="23"/>
  <c r="A55" i="23"/>
  <c r="A54" i="23"/>
  <c r="A53" i="23"/>
  <c r="A52" i="23"/>
  <c r="A51" i="23"/>
  <c r="A50" i="23"/>
  <c r="A49" i="23"/>
  <c r="A48" i="23"/>
  <c r="A47" i="23"/>
  <c r="A46" i="23"/>
  <c r="A45" i="23"/>
  <c r="A44" i="23"/>
  <c r="A43" i="23"/>
  <c r="A42" i="23"/>
  <c r="A41" i="23"/>
  <c r="A40" i="23"/>
  <c r="A39" i="23"/>
  <c r="A38" i="23"/>
  <c r="A37" i="23"/>
  <c r="D30" i="23"/>
  <c r="I30" i="23"/>
  <c r="E10" i="23"/>
  <c r="J11" i="23"/>
  <c r="E12" i="23"/>
  <c r="J13" i="23"/>
  <c r="J14" i="23"/>
  <c r="J15" i="23"/>
  <c r="E16" i="23"/>
  <c r="J17" i="23"/>
  <c r="J18" i="23"/>
  <c r="J19" i="23"/>
  <c r="E20" i="23"/>
  <c r="E21" i="23"/>
  <c r="J22" i="23"/>
  <c r="J23" i="23"/>
  <c r="E24" i="23"/>
  <c r="J25" i="23"/>
  <c r="E26" i="23"/>
  <c r="J27" i="23"/>
  <c r="E28" i="23"/>
  <c r="E29" i="23"/>
  <c r="E9" i="23"/>
  <c r="J28" i="23" l="1"/>
  <c r="J12" i="23"/>
  <c r="J20" i="23"/>
  <c r="K30" i="23"/>
  <c r="M13" i="16" s="1"/>
  <c r="BP2" i="19" s="1"/>
  <c r="J10" i="23"/>
  <c r="J26" i="23"/>
  <c r="E22" i="23"/>
  <c r="J9" i="23"/>
  <c r="J16" i="23"/>
  <c r="J24" i="23"/>
  <c r="C30" i="23"/>
  <c r="E14" i="23"/>
  <c r="E25" i="23"/>
  <c r="E17" i="23"/>
  <c r="J21" i="23"/>
  <c r="J29" i="23"/>
  <c r="E27" i="23"/>
  <c r="E23" i="23"/>
  <c r="E15" i="23"/>
  <c r="E11" i="23"/>
  <c r="E13" i="23"/>
  <c r="A9" i="23"/>
  <c r="B9" i="23"/>
  <c r="A10" i="23"/>
  <c r="B10" i="23"/>
  <c r="A11" i="23"/>
  <c r="B11" i="23"/>
  <c r="A12" i="23"/>
  <c r="B12" i="23"/>
  <c r="A13" i="23"/>
  <c r="B13" i="23"/>
  <c r="A14" i="23"/>
  <c r="B14" i="23"/>
  <c r="A15" i="23"/>
  <c r="B15" i="23"/>
  <c r="A16" i="23"/>
  <c r="B16" i="23"/>
  <c r="A17" i="23"/>
  <c r="B17" i="23"/>
  <c r="A18" i="23"/>
  <c r="B18" i="23"/>
  <c r="A19" i="23"/>
  <c r="B19" i="23"/>
  <c r="A20" i="23"/>
  <c r="B20" i="23"/>
  <c r="A21" i="23"/>
  <c r="B21" i="23"/>
  <c r="A22" i="23"/>
  <c r="B22" i="23"/>
  <c r="A23" i="23"/>
  <c r="B23" i="23"/>
  <c r="A24" i="23"/>
  <c r="B24" i="23"/>
  <c r="A25" i="23"/>
  <c r="B25" i="23"/>
  <c r="A26" i="23"/>
  <c r="B26" i="23"/>
  <c r="A27" i="23"/>
  <c r="B27" i="23"/>
  <c r="A28" i="23"/>
  <c r="B28" i="23"/>
  <c r="A29" i="23"/>
  <c r="B29" i="23"/>
  <c r="E5" i="23"/>
  <c r="E32" i="23" s="1"/>
  <c r="N5" i="21" l="1"/>
  <c r="N7" i="20"/>
  <c r="M7" i="16"/>
  <c r="M9" i="16" s="1"/>
  <c r="A2" i="19" l="1"/>
  <c r="M15" i="16" l="1"/>
  <c r="BQ2" i="19" s="1"/>
  <c r="BM2" i="19" l="1"/>
  <c r="BN2" i="19"/>
  <c r="BL2" i="19"/>
  <c r="BH2" i="19"/>
  <c r="BI2" i="19"/>
  <c r="BO2" i="19"/>
  <c r="BK2" i="19"/>
  <c r="BF2" i="19"/>
  <c r="BG2" i="19"/>
  <c r="BE2" i="19"/>
  <c r="B33" i="18" l="1"/>
  <c r="D31" i="18" l="1"/>
  <c r="H2" i="19" s="1"/>
  <c r="C31" i="18"/>
  <c r="K2" i="19" l="1"/>
  <c r="G9" i="18"/>
  <c r="G10" i="18" s="1"/>
  <c r="BW2" i="19"/>
  <c r="N20" i="16" l="1"/>
  <c r="E93" i="16"/>
  <c r="BT2" i="19"/>
  <c r="E62" i="16"/>
  <c r="E36" i="16"/>
  <c r="BV2" i="19"/>
  <c r="BU2" i="19"/>
  <c r="CA2" i="19"/>
  <c r="CD2" i="19"/>
  <c r="BY2" i="19"/>
  <c r="BX2" i="19"/>
  <c r="CB2" i="19"/>
  <c r="CC2" i="19"/>
  <c r="F20" i="16" l="1"/>
  <c r="J20" i="16"/>
  <c r="E20" i="16"/>
  <c r="G20" i="16"/>
  <c r="I20" i="16"/>
  <c r="H20" i="16"/>
  <c r="M20" i="16"/>
  <c r="D20" i="16"/>
  <c r="K20" i="16"/>
  <c r="M10" i="16" l="1"/>
  <c r="CG2" i="19" s="1"/>
</calcChain>
</file>

<file path=xl/comments1.xml><?xml version="1.0" encoding="utf-8"?>
<comments xmlns="http://schemas.openxmlformats.org/spreadsheetml/2006/main">
  <authors>
    <author>Blackmon, Glenn (COM)</author>
  </authors>
  <commentList>
    <comment ref="A11" authorId="0" shapeId="0">
      <text>
        <r>
          <rPr>
            <sz val="9"/>
            <color indexed="81"/>
            <rFont val="Tahoma"/>
            <family val="2"/>
          </rPr>
          <t xml:space="preserve">Utilities selecting the Resource Cost or No Load Growth methods must submit additional information. See details in WAC 194-37-110.
</t>
        </r>
      </text>
    </comment>
    <comment ref="K17" authorId="0" shape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shape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<sst xmlns="http://schemas.openxmlformats.org/spreadsheetml/2006/main" count="535" uniqueCount="344">
  <si>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</si>
  <si>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</si>
  <si>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</si>
  <si>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</si>
  <si>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</si>
  <si>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</si>
  <si>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</si>
  <si>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</si>
  <si>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</si>
  <si>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</si>
  <si>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</si>
  <si>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</si>
  <si>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</si>
  <si>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</si>
  <si>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</si>
  <si>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</si>
  <si>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</si>
  <si>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</si>
  <si>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</si>
  <si>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</si>
  <si>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</si>
  <si>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</si>
  <si>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</si>
  <si>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</si>
  <si>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</si>
  <si>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</si>
  <si>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</si>
  <si>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</si>
  <si>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</si>
  <si>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</si>
  <si>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</si>
  <si>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</si>
  <si>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</si>
  <si>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</si>
  <si>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</si>
  <si>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</si>
  <si>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</si>
  <si>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</si>
  <si>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</si>
  <si>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</si>
  <si>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</si>
  <si>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</si>
  <si>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</si>
  <si>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</si>
  <si>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</si>
  <si>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</si>
  <si>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</si>
  <si>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</si>
  <si>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</si>
  <si>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</si>
  <si>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</si>
  <si>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</si>
  <si>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</si>
  <si>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</si>
  <si>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</si>
  <si>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</si>
  <si>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</si>
  <si>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</si>
  <si>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</si>
  <si>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</si>
  <si>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</si>
  <si>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</si>
  <si>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</si>
  <si>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</si>
  <si>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</si>
  <si>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</si>
  <si>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</si>
  <si>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</si>
  <si>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</si>
  <si>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</si>
  <si>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</si>
  <si>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</si>
  <si>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</si>
  <si>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</si>
  <si>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</si>
  <si>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</si>
  <si>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</si>
  <si>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</si>
  <si>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</si>
  <si>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</si>
  <si>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</si>
  <si>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</si>
  <si>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</si>
  <si>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</si>
  <si>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</si>
  <si>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</si>
  <si>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</si>
  <si>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</si>
  <si>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</si>
  <si>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</si>
  <si>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</si>
  <si>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</si>
  <si>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</si>
  <si>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</si>
  <si>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</si>
  <si>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</si>
  <si>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</si>
  <si>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</si>
  <si>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</si>
  <si>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</si>
  <si>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</si>
  <si>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</si>
  <si>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</si>
  <si>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</si>
  <si>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</si>
  <si>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</si>
  <si>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</si>
  <si>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</si>
  <si>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</si>
  <si>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</si>
  <si>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</si>
  <si>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</si>
  <si>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</si>
  <si>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</si>
  <si>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</si>
  <si>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</si>
  <si>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</si>
  <si>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</si>
  <si>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</si>
  <si>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</si>
  <si>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</si>
  <si>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</si>
  <si>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</si>
  <si>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</si>
  <si>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</si>
  <si>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</si>
  <si>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</si>
  <si>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</si>
  <si>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</si>
  <si>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</si>
  <si>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</si>
  <si>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</si>
  <si>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</si>
  <si>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</si>
  <si>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</si>
  <si>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</si>
  <si>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</si>
  <si>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</si>
  <si>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</si>
  <si>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</si>
  <si>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</si>
  <si>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</si>
  <si>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</si>
  <si>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</si>
  <si>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</si>
  <si>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</si>
  <si>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</si>
  <si>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</si>
  <si>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</si>
  <si>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</si>
  <si>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</si>
  <si>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</si>
  <si>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</si>
  <si>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</si>
  <si>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</si>
  <si>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</si>
  <si>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</si>
  <si>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</si>
  <si>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</si>
  <si>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</si>
  <si>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</si>
  <si>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</si>
  <si>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</si>
  <si>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</si>
  <si>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</si>
  <si>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</si>
  <si>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</si>
  <si>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</si>
  <si>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</si>
  <si>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</si>
  <si>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</si>
  <si>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</si>
  <si>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</si>
  <si>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</si>
  <si>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</si>
  <si>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</si>
  <si>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</si>
  <si>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</si>
  <si>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</si>
  <si>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</si>
  <si>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</si>
  <si>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</si>
  <si>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</si>
  <si>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</si>
  <si>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</si>
  <si>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</si>
  <si>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</si>
  <si>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</si>
  <si>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</si>
  <si>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</si>
  <si>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</si>
  <si>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</si>
  <si>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</si>
  <si>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</si>
  <si>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</si>
  <si>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</si>
  <si>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</si>
  <si>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</si>
  <si>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Seattle City Light</t>
  </si>
  <si>
    <t>206-684-3856</t>
  </si>
  <si>
    <t>Robert.Cromwell@Seattle.gov</t>
  </si>
  <si>
    <t>Robert W. Cromwell, Jr./Regional Policy and Contracts</t>
  </si>
  <si>
    <t>Priest Rapids Project</t>
  </si>
  <si>
    <t>n/a</t>
  </si>
  <si>
    <t>King County Metro Cogen</t>
  </si>
  <si>
    <t>W2772</t>
  </si>
  <si>
    <t>W249</t>
  </si>
  <si>
    <t>Yes</t>
  </si>
  <si>
    <t>Columbia Ridge 1</t>
  </si>
  <si>
    <t>W1361</t>
  </si>
  <si>
    <t>Columbia Ridge 2</t>
  </si>
  <si>
    <t>Columbia Ridge 3</t>
  </si>
  <si>
    <t>Columbia Ridge 4</t>
  </si>
  <si>
    <t>Columbia Ridge 5</t>
  </si>
  <si>
    <t>Columbia Ridge 6</t>
  </si>
  <si>
    <t>Columbia Ridge 7</t>
  </si>
  <si>
    <t>Columbia Ridge 8</t>
  </si>
  <si>
    <t>Columbia Ridge 1 Plant 2</t>
  </si>
  <si>
    <t>Columbia Ridge 2 Plant 2</t>
  </si>
  <si>
    <t>Columbia Ridge 3 Plant 2</t>
  </si>
  <si>
    <t>Columbia Ridge 4 Plant 2</t>
  </si>
  <si>
    <t>Condon Phase II</t>
  </si>
  <si>
    <t>Condon Wind Power Project</t>
  </si>
  <si>
    <t>Stateline Wind (WA)</t>
  </si>
  <si>
    <t>Klondike III</t>
  </si>
  <si>
    <t>Klondike Wind Power</t>
  </si>
  <si>
    <t>Raft River Energy I</t>
  </si>
  <si>
    <t>Stateline Wind (OR)</t>
  </si>
  <si>
    <t>Sawtooth Wind</t>
  </si>
  <si>
    <t>Sierra Pacific Burlington</t>
  </si>
  <si>
    <t>Tuana Springs</t>
  </si>
  <si>
    <t>W4195</t>
  </si>
  <si>
    <t>W1385</t>
  </si>
  <si>
    <t>W4196</t>
  </si>
  <si>
    <t>W1387</t>
  </si>
  <si>
    <t>W4197</t>
  </si>
  <si>
    <t>W1388</t>
  </si>
  <si>
    <t>W4198</t>
  </si>
  <si>
    <t>W1389</t>
  </si>
  <si>
    <t>W1390</t>
  </si>
  <si>
    <t>W1391</t>
  </si>
  <si>
    <t>W1392</t>
  </si>
  <si>
    <t>W833</t>
  </si>
  <si>
    <t>W774</t>
  </si>
  <si>
    <t>W248</t>
  </si>
  <si>
    <t>W237</t>
  </si>
  <si>
    <t>W238</t>
  </si>
  <si>
    <t>W228</t>
  </si>
  <si>
    <t>W2323</t>
  </si>
  <si>
    <t>W1491</t>
  </si>
  <si>
    <t>W1503</t>
  </si>
  <si>
    <t>market purchase</t>
  </si>
  <si>
    <t>Resource Cost and Production Estimates</t>
  </si>
  <si>
    <t>Stateline</t>
  </si>
  <si>
    <t>Pro rated</t>
  </si>
  <si>
    <t>BPA RECs</t>
  </si>
  <si>
    <t>Wanapum</t>
  </si>
  <si>
    <t>King County</t>
  </si>
  <si>
    <t>Compliance</t>
  </si>
  <si>
    <t>Calendar</t>
  </si>
  <si>
    <t>For</t>
  </si>
  <si>
    <t>Amount</t>
  </si>
  <si>
    <t>Estimates [A]</t>
  </si>
  <si>
    <t>Compliance [B]</t>
  </si>
  <si>
    <t>[C]</t>
  </si>
  <si>
    <t>[D]</t>
  </si>
  <si>
    <t>[E]</t>
  </si>
  <si>
    <t>[F]</t>
  </si>
  <si>
    <t>Estimated Production (MWh or RECs) (1)</t>
  </si>
  <si>
    <t>Contract Price (2)</t>
  </si>
  <si>
    <t>Integration Price ($/MWh) (3)</t>
  </si>
  <si>
    <t>Exchange Price ($/kW/month) (4)</t>
  </si>
  <si>
    <t>Purchase Spending (5)</t>
  </si>
  <si>
    <t>Integration + Exchange Spending (6)</t>
  </si>
  <si>
    <t>Total Spending (7)</t>
  </si>
  <si>
    <t>Sources and Notes</t>
  </si>
  <si>
    <t>[B] Stateline annual pro-rated to amount of RECs needed for compliance</t>
  </si>
  <si>
    <t xml:space="preserve">[D] MWhs from Priest Rapids Project (PRP).  City Light pays a share of project costs; price shown is based on output under average water conditions. </t>
  </si>
  <si>
    <t>(1) Power or REC production estimates, long term averages</t>
  </si>
  <si>
    <t>(4) Exchange charge for Stateline $2/kW/month fixed for term, other resources do not have a similar charge.</t>
  </si>
  <si>
    <t>(5) = (1) x (2)</t>
  </si>
  <si>
    <t>(6) = (1) x (3) + exchange charge times exchange amount</t>
  </si>
  <si>
    <t>(7) = (5) + (6) if applicable</t>
  </si>
  <si>
    <t>Resource Cost and Production Estimates to derive Substitute Resource spending</t>
  </si>
  <si>
    <t>Stateline output</t>
  </si>
  <si>
    <t>PRP output</t>
  </si>
  <si>
    <t xml:space="preserve">Mid-C </t>
  </si>
  <si>
    <t>[1]</t>
  </si>
  <si>
    <t>[2]</t>
  </si>
  <si>
    <t>[3]</t>
  </si>
  <si>
    <t>HLH</t>
  </si>
  <si>
    <t>LLH</t>
  </si>
  <si>
    <t>Jan</t>
  </si>
  <si>
    <t>Feb</t>
  </si>
  <si>
    <t>Mar</t>
  </si>
  <si>
    <t>Apr</t>
  </si>
  <si>
    <t>May</t>
  </si>
  <si>
    <t>Jun</t>
  </si>
  <si>
    <t>Jul</t>
  </si>
  <si>
    <t>Aug</t>
  </si>
  <si>
    <t>Sep</t>
  </si>
  <si>
    <t>Oct</t>
  </si>
  <si>
    <t>Nov</t>
  </si>
  <si>
    <t>Dec</t>
  </si>
  <si>
    <t>Annual total (MWh)</t>
  </si>
  <si>
    <t>Average price ($/MWh)</t>
  </si>
  <si>
    <t>Forecast is for monthly delivery.</t>
  </si>
  <si>
    <t>Compliance amount</t>
  </si>
  <si>
    <t>Substitute Resource spending total</t>
  </si>
  <si>
    <t>[1]: City Light's purchase amount is for 175 MW. Output is based on historic monthly averages.</t>
  </si>
  <si>
    <t>[3]: Average output is approximately 2 MW/hr.</t>
  </si>
  <si>
    <t>[A] Stateline average output shown</t>
  </si>
  <si>
    <t>December 15, 2015 query for 2016 prices</t>
  </si>
  <si>
    <t>Columbia Ridge</t>
  </si>
  <si>
    <t>[G]</t>
  </si>
  <si>
    <t>[H]</t>
  </si>
  <si>
    <t>[G] Sierra Pacific Industries, Burlington, Wa. Biomass plant</t>
  </si>
  <si>
    <t>[F] = sum [B] through [G] where applicable</t>
  </si>
  <si>
    <t>[E] Output from King County West Point Cogen, SCL holds PPA</t>
  </si>
  <si>
    <t>[F] Columbia Ridge landfill gas plant.  City Light holds PPA, pays same price for both plants</t>
  </si>
  <si>
    <t>SPI</t>
  </si>
  <si>
    <t>Compliance [B.1]</t>
  </si>
  <si>
    <t>Portion of planned 2016 output to meet target</t>
  </si>
  <si>
    <t>Hydro efficiency upgrades at the 2 dams</t>
  </si>
  <si>
    <t>Generation and DG credit used in same year; estimated generation</t>
  </si>
  <si>
    <t>Market price value</t>
  </si>
  <si>
    <t>[C] Estimated from BPA Power Sales Agreement, Exhibit H, Revision 1 and estimates from BPA.  Price is part of Tier 1 purchase from BPA and estimating the individual price is not meaningful.  RECs are not free.</t>
  </si>
  <si>
    <t>check</t>
  </si>
  <si>
    <t>N/A</t>
  </si>
  <si>
    <t>(2) Stateline Power Purchase Contract price; BPA has not provided contract prices; King County PPA price per contract; Wanapum is estimated based on 2016 purchase and average output.</t>
  </si>
  <si>
    <t>(3) Stateline integration charge for year indicated, other resources do not have a similar charge.</t>
  </si>
  <si>
    <t>2015 Market prices and average resource production for eligible resources for which RECs proposed for compliance in 2016</t>
  </si>
  <si>
    <t>2016 Market prices and average resource production for eligible resources for which RECs proposed for compliance in 2016</t>
  </si>
  <si>
    <t>December 19, 2014 query for 2015 prices</t>
  </si>
  <si>
    <t>[2]: Priest Rapids Project output is median forecast from Grant PUD.</t>
  </si>
  <si>
    <t>Annual total output (MWh)</t>
  </si>
  <si>
    <t>Unit Cost [8]</t>
  </si>
  <si>
    <t>[8] = [7] / [1]</t>
  </si>
  <si>
    <t>Market value</t>
  </si>
  <si>
    <t>[2]: Columbia Ridge landfill gas plant, average output is 11 MW/hr.</t>
  </si>
  <si>
    <t>[3] Sierra Pacific Burlington biomass plant, out approximately 3 MW/hr.</t>
  </si>
  <si>
    <t>Brendan O'Donnell/Customer Energy Solutions</t>
  </si>
  <si>
    <t>206-733-9265</t>
  </si>
  <si>
    <t>Brendan.Odonnell@seattle.gov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</si>
</sst>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_);[Red]\(&quot;$&quot;#,##0\)"/>
    <numFmt numFmtId="8" formatCode="&quot;$&quot;#,##0.00_);[Red]\(&quot;$&quot;#,##0.00\)"/>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3"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
      <i/>
      <sz val="11"/>
      <color indexed="8"/>
      <name val="Calibri"/>
      <family val="2"/>
    </font>
    <font>
      <sz val="11"/>
      <name val="Calibri"/>
      <family val="2"/>
      <scheme val="minor"/>
    </font>
    <font>
      <b/>
      <sz val="10"/>
      <name val="Times New Roman"/>
      <family val="1"/>
    </font>
  </fonts>
  <fills count="9">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55">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right/>
      <top/>
      <bottom style="double">
        <color indexed="64"/>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322">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6" borderId="34" xfId="0" applyNumberFormat="1" applyFont="1" applyFill="1" applyBorder="1" applyAlignment="1">
      <alignment horizontal="center"/>
    </xf>
    <xf numFmtId="0" fontId="8" fillId="6" borderId="12" xfId="0"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2"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3" xfId="0" applyNumberFormat="1" applyFont="1" applyFill="1" applyBorder="1" applyAlignment="1">
      <alignment horizontal="center"/>
    </xf>
    <xf numFmtId="165" fontId="8" fillId="6" borderId="47" xfId="1" applyNumberFormat="1" applyFont="1" applyFill="1" applyBorder="1"/>
    <xf numFmtId="165" fontId="8" fillId="6" borderId="51"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0" fontId="8" fillId="7" borderId="11" xfId="0" applyFont="1" applyFill="1" applyBorder="1" applyAlignment="1" applyProtection="1">
      <alignment horizontal="center"/>
      <protection locked="0"/>
    </xf>
    <xf numFmtId="169" fontId="8" fillId="7" borderId="11" xfId="0" applyNumberFormat="1" applyFont="1" applyFill="1" applyBorder="1" applyAlignment="1" applyProtection="1">
      <protection locked="0"/>
    </xf>
    <xf numFmtId="0" fontId="1" fillId="7" borderId="31" xfId="0" applyFont="1" applyFill="1" applyBorder="1" applyAlignment="1" applyProtection="1">
      <alignment horizontal="left"/>
      <protection locked="0"/>
    </xf>
    <xf numFmtId="0" fontId="1" fillId="7" borderId="48" xfId="0" applyFont="1" applyFill="1" applyBorder="1" applyAlignment="1" applyProtection="1">
      <alignment horizontal="right"/>
      <protection locked="0"/>
    </xf>
    <xf numFmtId="165" fontId="8" fillId="7" borderId="1" xfId="1" applyNumberFormat="1" applyFont="1" applyFill="1" applyBorder="1" applyProtection="1">
      <protection locked="0"/>
    </xf>
    <xf numFmtId="0" fontId="1" fillId="7" borderId="11" xfId="0" applyFont="1" applyFill="1" applyBorder="1" applyAlignment="1" applyProtection="1">
      <alignment horizontal="left"/>
      <protection locked="0"/>
    </xf>
    <xf numFmtId="0" fontId="1" fillId="7" borderId="49" xfId="0" applyFont="1" applyFill="1" applyBorder="1" applyAlignment="1" applyProtection="1">
      <alignment horizontal="right"/>
      <protection locked="0"/>
    </xf>
    <xf numFmtId="165" fontId="8" fillId="7" borderId="21" xfId="1" applyNumberFormat="1" applyFont="1" applyFill="1" applyBorder="1" applyAlignment="1" applyProtection="1">
      <alignment horizontal="right"/>
      <protection locked="0"/>
    </xf>
    <xf numFmtId="0" fontId="1" fillId="7" borderId="11" xfId="0" applyFont="1" applyFill="1" applyBorder="1" applyAlignment="1" applyProtection="1">
      <alignment horizontal="left" wrapText="1"/>
      <protection locked="0"/>
    </xf>
    <xf numFmtId="0" fontId="1" fillId="7" borderId="49" xfId="0" applyFont="1" applyFill="1" applyBorder="1" applyAlignment="1" applyProtection="1">
      <alignment horizontal="right" wrapText="1"/>
      <protection locked="0"/>
    </xf>
    <xf numFmtId="0" fontId="2" fillId="7" borderId="11" xfId="0" applyFont="1" applyFill="1" applyBorder="1" applyAlignment="1" applyProtection="1">
      <alignment horizontal="left"/>
      <protection locked="0"/>
    </xf>
    <xf numFmtId="0" fontId="2" fillId="7" borderId="49" xfId="0"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9" xfId="0" applyFont="1" applyFill="1" applyBorder="1" applyProtection="1">
      <protection locked="0"/>
    </xf>
    <xf numFmtId="0" fontId="9" fillId="7" borderId="15" xfId="0" applyFont="1" applyFill="1" applyBorder="1" applyAlignment="1" applyProtection="1">
      <alignment horizontal="left"/>
      <protection locked="0"/>
    </xf>
    <xf numFmtId="0" fontId="9" fillId="7" borderId="50"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5" xfId="1" applyNumberFormat="1" applyFont="1" applyFill="1" applyBorder="1" applyProtection="1">
      <protection locked="0"/>
    </xf>
    <xf numFmtId="165" fontId="8" fillId="7" borderId="31" xfId="1" applyNumberFormat="1" applyFont="1" applyFill="1" applyBorder="1" applyProtection="1">
      <protection locked="0"/>
    </xf>
    <xf numFmtId="165" fontId="8" fillId="7" borderId="48" xfId="1" applyNumberFormat="1" applyFont="1" applyFill="1" applyBorder="1" applyProtection="1">
      <protection locked="0"/>
    </xf>
    <xf numFmtId="165" fontId="8" fillId="7" borderId="46"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9"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7"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50"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1" xfId="1" applyNumberFormat="1" applyFont="1" applyFill="1" applyBorder="1" applyProtection="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1" xfId="1" applyNumberFormat="1" applyFont="1" applyFill="1" applyBorder="1" applyProtection="1"/>
    <xf numFmtId="169" fontId="8" fillId="7" borderId="21" xfId="1" applyNumberFormat="1" applyFont="1" applyFill="1" applyBorder="1" applyProtection="1"/>
    <xf numFmtId="169" fontId="8" fillId="7" borderId="10" xfId="1" applyNumberFormat="1" applyFont="1" applyFill="1" applyBorder="1" applyProtection="1"/>
    <xf numFmtId="9" fontId="2" fillId="6" borderId="34" xfId="0" applyNumberFormat="1" applyFont="1" applyFill="1" applyBorder="1" applyAlignment="1">
      <alignment horizontal="center"/>
    </xf>
    <xf numFmtId="0" fontId="1" fillId="6" borderId="9" xfId="0" applyNumberFormat="1" applyFont="1" applyFill="1" applyBorder="1" applyAlignment="1" applyProtection="1">
      <alignment horizontal="center"/>
    </xf>
    <xf numFmtId="0" fontId="1" fillId="6" borderId="1" xfId="0" applyNumberFormat="1" applyFont="1" applyFill="1" applyBorder="1" applyAlignment="1" applyProtection="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16" xfId="0" applyNumberFormat="1" applyFont="1" applyFill="1" applyBorder="1" applyAlignment="1" applyProtection="1">
      <alignment horizontal="right"/>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0" fontId="1" fillId="7" borderId="48" xfId="0" applyFont="1" applyFill="1" applyBorder="1" applyAlignment="1" applyProtection="1">
      <alignment horizontal="left"/>
      <protection locked="0"/>
    </xf>
    <xf numFmtId="0" fontId="1" fillId="7" borderId="49" xfId="0" applyFont="1" applyFill="1" applyBorder="1" applyAlignment="1" applyProtection="1">
      <alignment horizontal="left"/>
      <protection locked="0"/>
    </xf>
    <xf numFmtId="0" fontId="1" fillId="7" borderId="49" xfId="0" applyFont="1" applyFill="1" applyBorder="1" applyAlignment="1" applyProtection="1">
      <alignment horizontal="left" wrapText="1"/>
      <protection locked="0"/>
    </xf>
    <xf numFmtId="0" fontId="2" fillId="7" borderId="49" xfId="0" applyFont="1" applyFill="1" applyBorder="1" applyAlignment="1" applyProtection="1">
      <alignment horizontal="left"/>
      <protection locked="0"/>
    </xf>
    <xf numFmtId="0" fontId="9" fillId="7" borderId="49" xfId="0" applyFont="1" applyFill="1" applyBorder="1" applyAlignment="1" applyProtection="1">
      <alignment horizontal="left"/>
      <protection locked="0"/>
    </xf>
    <xf numFmtId="0" fontId="9" fillId="7" borderId="50" xfId="0" applyFont="1" applyFill="1" applyBorder="1" applyAlignment="1" applyProtection="1">
      <alignment horizontal="left"/>
      <protection locked="0"/>
    </xf>
    <xf numFmtId="0" fontId="0" fillId="0" borderId="0" xfId="0" applyBorder="1"/>
    <xf numFmtId="0" fontId="0" fillId="0" borderId="0" xfId="0" applyBorder="1" applyAlignment="1">
      <alignment horizontal="right"/>
    </xf>
    <xf numFmtId="0" fontId="30" fillId="0" borderId="0" xfId="0" applyFont="1" applyAlignment="1">
      <alignment horizontal="right"/>
    </xf>
    <xf numFmtId="0" fontId="0" fillId="0" borderId="0" xfId="0" applyAlignment="1">
      <alignment horizontal="right"/>
    </xf>
    <xf numFmtId="8" fontId="0" fillId="0" borderId="0" xfId="0" applyNumberFormat="1"/>
    <xf numFmtId="38" fontId="0" fillId="0" borderId="0" xfId="0" applyNumberFormat="1" applyBorder="1"/>
    <xf numFmtId="165" fontId="0" fillId="0" borderId="0" xfId="1" applyNumberFormat="1" applyFont="1"/>
    <xf numFmtId="3" fontId="0" fillId="0" borderId="0" xfId="0" applyNumberFormat="1"/>
    <xf numFmtId="38" fontId="0" fillId="0" borderId="0" xfId="0" applyNumberFormat="1"/>
    <xf numFmtId="6" fontId="0" fillId="0" borderId="0" xfId="0" applyNumberFormat="1" applyBorder="1"/>
    <xf numFmtId="6" fontId="0" fillId="0" borderId="0" xfId="0" applyNumberFormat="1"/>
    <xf numFmtId="6" fontId="0" fillId="0" borderId="54" xfId="0" applyNumberFormat="1" applyBorder="1"/>
    <xf numFmtId="0" fontId="31" fillId="0" borderId="0" xfId="0" applyFont="1"/>
    <xf numFmtId="0" fontId="0" fillId="2" borderId="0" xfId="0" applyFont="1" applyFill="1"/>
    <xf numFmtId="0" fontId="0" fillId="0" borderId="0" xfId="0" applyAlignment="1"/>
    <xf numFmtId="14" fontId="0" fillId="0" borderId="0" xfId="0" applyNumberFormat="1" applyAlignment="1"/>
    <xf numFmtId="0" fontId="32" fillId="0" borderId="32" xfId="0" applyFont="1" applyBorder="1" applyAlignment="1">
      <alignment horizontal="right"/>
    </xf>
    <xf numFmtId="0" fontId="32" fillId="0" borderId="33" xfId="0" applyFont="1" applyBorder="1" applyAlignment="1">
      <alignment horizontal="right"/>
    </xf>
    <xf numFmtId="0" fontId="32" fillId="0" borderId="35" xfId="0" applyFont="1" applyBorder="1" applyAlignment="1">
      <alignment horizontal="right"/>
    </xf>
    <xf numFmtId="0" fontId="32" fillId="0" borderId="12" xfId="0" applyFont="1" applyBorder="1" applyAlignment="1">
      <alignment horizontal="right"/>
    </xf>
    <xf numFmtId="165" fontId="0" fillId="0" borderId="0" xfId="1" applyNumberFormat="1" applyFont="1" applyFill="1" applyAlignment="1"/>
    <xf numFmtId="165" fontId="0" fillId="0" borderId="0" xfId="1" applyNumberFormat="1" applyFont="1" applyAlignment="1"/>
    <xf numFmtId="8" fontId="0" fillId="0" borderId="0" xfId="0" applyNumberFormat="1" applyAlignment="1"/>
    <xf numFmtId="165" fontId="0" fillId="2" borderId="0" xfId="0" applyNumberFormat="1" applyFont="1" applyFill="1"/>
    <xf numFmtId="3" fontId="8" fillId="2" borderId="0" xfId="0" applyNumberFormat="1" applyFont="1" applyFill="1"/>
    <xf numFmtId="6" fontId="8" fillId="2" borderId="0" xfId="0" applyNumberFormat="1" applyFont="1" applyFill="1"/>
    <xf numFmtId="4" fontId="0" fillId="0" borderId="0" xfId="0" applyNumberFormat="1" applyAlignment="1">
      <alignment horizontal="right" wrapText="1"/>
    </xf>
    <xf numFmtId="8" fontId="8" fillId="2" borderId="0" xfId="0" applyNumberFormat="1" applyFont="1" applyFill="1" applyProtection="1">
      <protection locked="0"/>
    </xf>
    <xf numFmtId="165" fontId="8" fillId="2" borderId="0" xfId="0" applyNumberFormat="1" applyFont="1" applyFill="1" applyProtection="1">
      <protection locked="0"/>
    </xf>
    <xf numFmtId="0" fontId="0" fillId="0" borderId="0" xfId="0" applyAlignment="1">
      <alignment horizontal="centerContinuous"/>
    </xf>
    <xf numFmtId="0" fontId="8" fillId="2" borderId="0" xfId="0" applyFont="1" applyFill="1" applyAlignment="1">
      <alignment horizontal="centerContinuous"/>
    </xf>
    <xf numFmtId="0" fontId="7" fillId="7" borderId="14" xfId="3" applyFill="1" applyBorder="1" applyAlignment="1" applyProtection="1">
      <alignment horizontal="left"/>
      <protection locked="0"/>
    </xf>
    <xf numFmtId="168" fontId="10" fillId="7" borderId="13" xfId="0" applyNumberFormat="1"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8" fillId="7" borderId="13" xfId="0" applyFont="1" applyFill="1" applyBorder="1" applyAlignment="1" applyProtection="1">
      <alignment horizontal="left"/>
      <protection locked="0"/>
    </xf>
    <xf numFmtId="165" fontId="8" fillId="7" borderId="6" xfId="1" applyNumberFormat="1" applyFont="1" applyFill="1" applyBorder="1" applyAlignment="1" applyProtection="1">
      <alignment horizontal="center"/>
      <protection locked="0"/>
    </xf>
    <xf numFmtId="38" fontId="8" fillId="2" borderId="0" xfId="0" applyNumberFormat="1" applyFont="1" applyFill="1" applyProtection="1">
      <protection locked="0"/>
    </xf>
    <xf numFmtId="165" fontId="8" fillId="2" borderId="0" xfId="0" applyNumberFormat="1" applyFont="1" applyFill="1"/>
    <xf numFmtId="0" fontId="9" fillId="7" borderId="19" xfId="0" applyFont="1" applyFill="1" applyBorder="1" applyAlignment="1" applyProtection="1">
      <alignment horizontal="center"/>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0" fontId="12" fillId="2" borderId="18" xfId="0" applyFont="1" applyFill="1" applyBorder="1" applyAlignment="1">
      <alignment horizontal="center"/>
    </xf>
    <xf numFmtId="168" fontId="8" fillId="7" borderId="13" xfId="0" applyNumberFormat="1"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7" fillId="7" borderId="14" xfId="3" applyFill="1" applyBorder="1" applyAlignment="1" applyProtection="1">
      <alignment horizontal="center"/>
      <protection locked="0"/>
    </xf>
    <xf numFmtId="0" fontId="8" fillId="7" borderId="14" xfId="0" applyFont="1" applyFill="1" applyBorder="1" applyAlignment="1" applyProtection="1">
      <alignment horizontal="center"/>
      <protection locked="0"/>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12" fillId="2" borderId="0" xfId="0" applyFont="1" applyFill="1" applyBorder="1" applyAlignment="1">
      <alignment horizontal="center"/>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0" fontId="1" fillId="2" borderId="0" xfId="0" applyFont="1" applyFill="1" applyBorder="1" applyAlignment="1">
      <alignment horizontal="right" wrapText="1"/>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xf numFmtId="8" fontId="0" fillId="0" borderId="0" xfId="0" applyNumberFormat="1" applyFont="1" applyAlignment="1">
      <alignment horizontal="right" wrapText="1"/>
    </xf>
    <xf numFmtId="0" fontId="0" fillId="0" borderId="0" xfId="0" applyFill="1" applyBorder="1" applyAlignment="1">
      <alignment horizontal="right"/>
    </xf>
    <xf numFmtId="169" fontId="8" fillId="2" borderId="0" xfId="0" applyNumberFormat="1" applyFont="1" applyFill="1" applyProtection="1">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hyperlink" Target="http://www.seattle.gov/light/conserve/cv5_pub.htm" TargetMode="External"/></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2" name="TextBox 1">
          <a:hlinkClick xmlns:r="http://schemas.openxmlformats.org/officeDocument/2006/relationships" r:id="rId1"/>
        </xdr:cNvPr>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a:solidFill>
                <a:schemeClr val="dk1"/>
              </a:solidFill>
              <a:effectLst/>
              <a:latin typeface="+mn-lt"/>
              <a:ea typeface="+mn-ea"/>
              <a:cs typeface="+mn-cs"/>
            </a:rPr>
            <a:t>2014-2015 Achievement</a:t>
          </a:r>
          <a:endParaRPr lang="en-US">
            <a:effectLst/>
          </a:endParaRPr>
        </a:p>
        <a:p>
          <a:r>
            <a:rPr lang="en-US" sz="1100" b="0" i="0">
              <a:solidFill>
                <a:schemeClr val="dk1"/>
              </a:solidFill>
              <a:effectLst/>
              <a:latin typeface="+mn-lt"/>
              <a:ea typeface="+mn-ea"/>
              <a:cs typeface="+mn-cs"/>
            </a:rPr>
            <a:t>City Light has historically relied on BPA’s IS 2.0 reporting</a:t>
          </a:r>
          <a:r>
            <a:rPr lang="en-US" sz="1100" b="0" i="0" baseline="0">
              <a:solidFill>
                <a:schemeClr val="dk1"/>
              </a:solidFill>
              <a:effectLst/>
              <a:latin typeface="+mn-lt"/>
              <a:ea typeface="+mn-ea"/>
              <a:cs typeface="+mn-cs"/>
            </a:rPr>
            <a:t> </a:t>
          </a:r>
          <a:r>
            <a:rPr lang="en-US" sz="1100" b="0" i="0">
              <a:solidFill>
                <a:schemeClr val="dk1"/>
              </a:solidFill>
              <a:effectLst/>
              <a:latin typeface="+mn-lt"/>
              <a:ea typeface="+mn-ea"/>
              <a:cs typeface="+mn-cs"/>
            </a:rPr>
            <a:t>system to capture all of its energy conservation savings for I-937 reporting.  However, City Light has not formally reported all energy savings for 2015 to BPA and is in the process of re-reporting energy savings for 2014 based on results of a program evaulation. As such, the energy savings reflect the most current data available and some adjustments may result from resolving the reporting issues discussed below.</a:t>
          </a:r>
          <a:r>
            <a:rPr lang="en-US" sz="1100" b="0" i="0" baseline="0">
              <a:solidFill>
                <a:schemeClr val="dk1"/>
              </a:solidFill>
              <a:effectLst/>
              <a:latin typeface="+mn-lt"/>
              <a:ea typeface="+mn-ea"/>
              <a:cs typeface="+mn-cs"/>
            </a:rPr>
            <a:t> </a:t>
          </a:r>
          <a:r>
            <a:rPr lang="en-US" sz="1100">
              <a:solidFill>
                <a:schemeClr val="dk1"/>
              </a:solidFill>
              <a:effectLst/>
              <a:latin typeface="+mn-lt"/>
              <a:ea typeface="+mn-ea"/>
              <a:cs typeface="+mn-cs"/>
            </a:rPr>
            <a:t>The utility is confident that any adjustments will not signficantly alter the overall energy savings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reported here.   </a:t>
          </a:r>
          <a:endParaRPr lang="en-US">
            <a:effectLst/>
          </a:endParaRPr>
        </a:p>
        <a:p>
          <a:pPr eaLnBrk="1" fontAlgn="auto" latinLnBrk="0" hangingPunct="1"/>
          <a:r>
            <a:rPr lang="en-US" sz="1100">
              <a:solidFill>
                <a:schemeClr val="dk1"/>
              </a:solidFill>
              <a:effectLst/>
              <a:latin typeface="+mn-lt"/>
              <a:ea typeface="+mn-ea"/>
              <a:cs typeface="+mn-cs"/>
            </a:rPr>
            <a:t>1.</a:t>
          </a:r>
          <a:r>
            <a:rPr lang="en-US" sz="1100" baseline="0">
              <a:solidFill>
                <a:schemeClr val="dk1"/>
              </a:solidFill>
              <a:effectLst/>
              <a:latin typeface="+mn-lt"/>
              <a:ea typeface="+mn-ea"/>
              <a:cs typeface="+mn-cs"/>
            </a:rPr>
            <a:t> </a:t>
          </a:r>
          <a:r>
            <a:rPr lang="en-US" sz="1100" i="1" baseline="0">
              <a:solidFill>
                <a:schemeClr val="dk1"/>
              </a:solidFill>
              <a:effectLst/>
              <a:latin typeface="+mn-lt"/>
              <a:ea typeface="+mn-ea"/>
              <a:cs typeface="+mn-cs"/>
            </a:rPr>
            <a:t>Re-reporting Energy Savings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Based on updated</a:t>
          </a:r>
          <a:r>
            <a:rPr lang="en-US" sz="1100" baseline="0">
              <a:solidFill>
                <a:schemeClr val="dk1"/>
              </a:solidFill>
              <a:effectLst/>
              <a:latin typeface="+mn-lt"/>
              <a:ea typeface="+mn-ea"/>
              <a:cs typeface="+mn-cs"/>
            </a:rPr>
            <a:t> third party </a:t>
          </a:r>
          <a:r>
            <a:rPr lang="en-US" sz="1100">
              <a:solidFill>
                <a:schemeClr val="dk1"/>
              </a:solidFill>
              <a:effectLst/>
              <a:latin typeface="+mn-lt"/>
              <a:ea typeface="+mn-ea"/>
              <a:cs typeface="+mn-cs"/>
            </a:rPr>
            <a:t>evaluation in</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2015, City Light has adjusted the realization rate for commercial</a:t>
          </a:r>
          <a:r>
            <a:rPr lang="en-US" sz="1100" baseline="0">
              <a:solidFill>
                <a:schemeClr val="dk1"/>
              </a:solidFill>
              <a:effectLst/>
              <a:latin typeface="+mn-lt"/>
              <a:ea typeface="+mn-ea"/>
              <a:cs typeface="+mn-cs"/>
            </a:rPr>
            <a:t> retrofit </a:t>
          </a:r>
          <a:r>
            <a:rPr lang="en-US" sz="1100">
              <a:solidFill>
                <a:schemeClr val="dk1"/>
              </a:solidFill>
              <a:effectLst/>
              <a:latin typeface="+mn-lt"/>
              <a:ea typeface="+mn-ea"/>
              <a:cs typeface="+mn-cs"/>
            </a:rPr>
            <a:t>lighting and HVAC projects for both 2014 and 2015</a:t>
          </a:r>
          <a:r>
            <a:rPr lang="en-US" sz="1100" baseline="0">
              <a:solidFill>
                <a:schemeClr val="dk1"/>
              </a:solidFill>
              <a:effectLst/>
              <a:latin typeface="+mn-lt"/>
              <a:ea typeface="+mn-ea"/>
              <a:cs typeface="+mn-cs"/>
            </a:rPr>
            <a:t>. City Light is in the process of re-reporting energy savings, which will not be complete by June 1, 2016. </a:t>
          </a:r>
          <a:endParaRPr lang="en-US">
            <a:effectLst/>
          </a:endParaRPr>
        </a:p>
        <a:p>
          <a:pPr eaLnBrk="1" fontAlgn="auto" latinLnBrk="0" hangingPunct="1"/>
          <a:r>
            <a:rPr lang="en-US" sz="1100">
              <a:solidFill>
                <a:schemeClr val="dk1"/>
              </a:solidFill>
              <a:effectLst/>
              <a:latin typeface="+mn-lt"/>
              <a:ea typeface="+mn-ea"/>
              <a:cs typeface="+mn-cs"/>
            </a:rPr>
            <a:t>2.  </a:t>
          </a:r>
          <a:r>
            <a:rPr lang="en-US" sz="1100" i="1">
              <a:solidFill>
                <a:schemeClr val="dk1"/>
              </a:solidFill>
              <a:effectLst/>
              <a:latin typeface="+mn-lt"/>
              <a:ea typeface="+mn-ea"/>
              <a:cs typeface="+mn-cs"/>
            </a:rPr>
            <a:t>NEEA Savings</a:t>
          </a:r>
          <a:r>
            <a:rPr lang="en-US" sz="1100">
              <a:solidFill>
                <a:schemeClr val="dk1"/>
              </a:solidFill>
              <a:effectLst/>
              <a:latin typeface="+mn-lt"/>
              <a:ea typeface="+mn-ea"/>
              <a:cs typeface="+mn-cs"/>
            </a:rPr>
            <a:t>: At the time of this reporting, BPA's IS 2.0 system does not have the most up-to-date data for the NEEA direct and indirect funded energy savings. Our report reflects the most recent projection of energy savings that we recieve</a:t>
          </a:r>
          <a:r>
            <a:rPr lang="en-US" sz="1100" baseline="0">
              <a:solidFill>
                <a:schemeClr val="dk1"/>
              </a:solidFill>
              <a:effectLst/>
              <a:latin typeface="+mn-lt"/>
              <a:ea typeface="+mn-ea"/>
              <a:cs typeface="+mn-cs"/>
            </a:rPr>
            <a:t>d directly from NEEA</a:t>
          </a:r>
          <a:r>
            <a:rPr lang="en-US" sz="1100">
              <a:solidFill>
                <a:schemeClr val="dk1"/>
              </a:solidFill>
              <a:effectLst/>
              <a:latin typeface="+mn-lt"/>
              <a:ea typeface="+mn-ea"/>
              <a:cs typeface="+mn-cs"/>
            </a:rPr>
            <a:t>.</a:t>
          </a:r>
          <a:endParaRPr lang="en-US">
            <a:effectLst/>
          </a:endParaRPr>
        </a:p>
        <a:p>
          <a:pPr eaLnBrk="1" fontAlgn="auto" latinLnBrk="0" hangingPunct="1"/>
          <a:r>
            <a:rPr lang="en-US" sz="1100" b="1" i="0">
              <a:solidFill>
                <a:schemeClr val="dk1"/>
              </a:solidFill>
              <a:effectLst/>
              <a:latin typeface="+mn-lt"/>
              <a:ea typeface="+mn-ea"/>
              <a:cs typeface="+mn-cs"/>
            </a:rPr>
            <a:t>2016-2017 Target</a:t>
          </a:r>
          <a:endParaRPr lang="en-US">
            <a:effectLst/>
          </a:endParaRPr>
        </a:p>
        <a:p>
          <a:pPr eaLnBrk="1" fontAlgn="auto" latinLnBrk="0" hangingPunct="1"/>
          <a:r>
            <a:rPr lang="en-US" sz="1100" b="0" i="0">
              <a:solidFill>
                <a:schemeClr val="dk1"/>
              </a:solidFill>
              <a:effectLst/>
              <a:latin typeface="+mn-lt"/>
              <a:ea typeface="+mn-ea"/>
              <a:cs typeface="+mn-cs"/>
            </a:rPr>
            <a:t>In order to meet the requirements of the I-937, Seattle City Light used the Utility Analysis Option (Conservation Potential Assessment) to document its biennial target and ten-year potential. The Conservation Potential Assessment (CPA) identifies City Light's achievable and cost-effective energy conservation potential over the next twenty years. This study identified a biennial energy conservation potential of 25.62 aMW for 2016-2017 and a ten-year conservation potential of 128.1 aMW. The Seattle City Council adopted these targets with Resolution #31631.</a:t>
          </a:r>
          <a:r>
            <a:rPr lang="en-US" sz="1100" b="0" i="0" baseline="0">
              <a:solidFill>
                <a:schemeClr val="dk1"/>
              </a:solidFill>
              <a:effectLst/>
              <a:latin typeface="+mn-lt"/>
              <a:ea typeface="+mn-ea"/>
              <a:cs typeface="+mn-cs"/>
            </a:rPr>
            <a:t> A full report and appendix for the CPA are available on City Light's website at: http://www.seattle.gov/light/conserve/cv5_pub.htm</a:t>
          </a:r>
          <a:endParaRPr lang="en-US">
            <a:effectLst/>
          </a:endParaRP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King County West</a:t>
          </a:r>
          <a:r>
            <a:rPr lang="en-US" baseline="0"/>
            <a:t> Point Cogen is 2016 estimate.  Plant is 4.8 MW, and eligible for DG credit; eligible output must be attributed to compliance in order to claim DG multiplier.</a:t>
          </a:r>
        </a:p>
        <a:p>
          <a:r>
            <a:rPr lang="en-US" baseline="0"/>
            <a:t>Stateline output for 2016 is estimated; partial output to meet 2016 target.</a:t>
          </a:r>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66950"/>
              <a:ext cx="3171825" cy="695325"/>
              <a:chOff x="1362075" y="2266951"/>
              <a:chExt cx="1524000" cy="533405"/>
            </a:xfrm>
          </xdr:grpSpPr>
          <xdr:sp macro="" textlink="">
            <xdr:nvSpPr>
              <xdr:cNvPr id="5453" name="Check Box 333" hidden="1">
                <a:extLst>
                  <a:ext uri="{63B3BB69-23CF-44E3-9099-C40C66FF867C}">
                    <a14:compatExt spid="_x0000_s5453"/>
                  </a:ext>
                </a:extLst>
              </xdr:cNvPr>
              <xdr:cNvSpPr/>
            </xdr:nvSpPr>
            <xdr:spPr bwMode="auto">
              <a:xfrm>
                <a:off x="1362075" y="2714631"/>
                <a:ext cx="1524000" cy="857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bwMode="auto">
              <a:xfrm>
                <a:off x="1362075" y="2447925"/>
                <a:ext cx="14478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bwMode="auto">
              <a:xfrm>
                <a:off x="1362075" y="2266951"/>
                <a:ext cx="1352550"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61</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 Stateline (OR) (2016 vintage RECs) and King County, resource</a:t>
          </a:r>
          <a:r>
            <a:rPr lang="en-US" sz="1100" baseline="0"/>
            <a:t> price compared to market prices in 2016.  </a:t>
          </a:r>
        </a:p>
        <a:p>
          <a:endParaRPr lang="en-US" sz="1100" baseline="0"/>
        </a:p>
        <a:p>
          <a:r>
            <a:rPr lang="en-US" sz="1100" baseline="0"/>
            <a:t>For Columbia Ridge and SPI, 2015 vintage RECs used so 2015 is the base year for PPA price and market price. </a:t>
          </a:r>
        </a:p>
        <a:p>
          <a:endParaRPr lang="en-US" sz="1100" baseline="0"/>
        </a:p>
        <a:p>
          <a:r>
            <a:rPr lang="en-US" sz="1100" baseline="0"/>
            <a:t>Columbia Ridge is a landfill gas facility developed in two stages.  Twelve engines each have a WREGIS ID.  City Light pays the same price for all output.  Cost is pro rated based on output.</a:t>
          </a:r>
        </a:p>
        <a:p>
          <a:endParaRPr lang="en-US" sz="1100" baseline="0"/>
        </a:p>
        <a:p>
          <a:r>
            <a:rPr lang="en-US" sz="1100" baseline="0"/>
            <a:t>Condon, Klondike, and Stateline (WA) are acquired through City Light's purchase from BPA.  BPA does not provide project specific price data.  RECs are not free.</a:t>
          </a:r>
        </a:p>
        <a:p>
          <a:endParaRPr lang="en-US" sz="1100" baseline="0"/>
        </a:p>
        <a:p>
          <a:r>
            <a:rPr lang="en-US" sz="1100" baseline="0"/>
            <a:t>Raft River, Sawtooth, and Tuana Springs are REC-only purchases.  Cost per REC shown for 2015.</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Brendan.Odonnell@seattle.gov" TargetMode="External"/></Relationships>
</file>

<file path=xl/worksheets/_rels/sheet4.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drawing" Target="../drawings/drawing3.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Robert.Cromwell@Seattle.gov"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topLeftCell="A40" workbookViewId="0">
      <selection activeCell="A21" sqref="A21"/>
    </sheetView>
  </sheetViews>
  <sheetFormatPr defaultRowHeight="15" x14ac:dyDescent="0.25"/>
  <cols>
    <col min="1" max="1" width="135.140625" customWidth="1"/>
    <col min="14" max="14" width="11.7109375" customWidth="1"/>
  </cols>
  <sheetData>
    <row r="1" spans="1:14" ht="18.75" x14ac:dyDescent="0.25">
      <c r="A1" s="71" t="s">
        <v>194</v>
      </c>
    </row>
    <row r="2" spans="1:14" x14ac:dyDescent="0.25">
      <c r="A2" s="72" t="s">
        <v>110</v>
      </c>
    </row>
    <row r="3" spans="1:14" x14ac:dyDescent="0.25">
      <c r="A3" s="71"/>
      <c r="N3" s="43"/>
    </row>
    <row r="4" spans="1:14" x14ac:dyDescent="0.25">
      <c r="A4" s="70" t="s">
        <v>111</v>
      </c>
    </row>
    <row r="5" spans="1:14" x14ac:dyDescent="0.25">
      <c r="A5" s="70" t="s">
        <v>106</v>
      </c>
      <c r="N5">
        <f>IF(REN_Load_2015+REN_Load_2014&gt;0,AVERAGE(REN_Load_2015,REN_Load_2014),0)</f>
        <v>9249039</v>
      </c>
    </row>
    <row r="6" spans="1:14" x14ac:dyDescent="0.25">
      <c r="A6" s="70" t="s">
        <v>197</v>
      </c>
    </row>
    <row r="8" spans="1:14" x14ac:dyDescent="0.25">
      <c r="A8" s="73" t="s">
        <v>192</v>
      </c>
    </row>
    <row r="9" spans="1:14" x14ac:dyDescent="0.25">
      <c r="A9" s="74" t="s">
        <v>193</v>
      </c>
    </row>
  </sheetData>
  <sheetProtection sheet="1" objects="1" scenarios="1"/>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15" sqref="A15"/>
    </sheetView>
  </sheetViews>
  <sheetFormatPr defaultRowHeight="15" x14ac:dyDescent="0.25"/>
  <cols>
    <col min="1" max="1" width="107" customWidth="1"/>
    <col min="14" max="14" width="11.7109375" customWidth="1"/>
  </cols>
  <sheetData>
    <row r="1" spans="1:14" ht="18.75" x14ac:dyDescent="0.25">
      <c r="A1" s="38" t="s">
        <v>112</v>
      </c>
    </row>
    <row r="2" spans="1:14" ht="18.75" x14ac:dyDescent="0.25">
      <c r="A2" s="39"/>
    </row>
    <row r="3" spans="1:14" ht="57" x14ac:dyDescent="0.25">
      <c r="A3" s="40" t="s">
        <v>113</v>
      </c>
      <c r="N3" s="43"/>
    </row>
    <row r="4" spans="1:14" x14ac:dyDescent="0.25">
      <c r="A4" s="40"/>
      <c r="N4" s="43"/>
    </row>
    <row r="5" spans="1:14" ht="72" x14ac:dyDescent="0.25">
      <c r="A5" s="40" t="s">
        <v>114</v>
      </c>
      <c r="N5" s="43"/>
    </row>
    <row r="6" spans="1:14" x14ac:dyDescent="0.25">
      <c r="A6" s="40"/>
    </row>
    <row r="7" spans="1:14" ht="29.25" thickBot="1" x14ac:dyDescent="0.3">
      <c r="A7" s="41" t="s">
        <v>115</v>
      </c>
      <c r="N7">
        <f>IF(REN_Load_2015+REN_Load_2014&gt;0,AVERAGE(REN_Load_2015,REN_Load_2014),0)</f>
        <v>9249039</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6"/>
  <sheetViews>
    <sheetView tabSelected="1" zoomScaleNormal="100" workbookViewId="0">
      <selection activeCell="F13" sqref="F13"/>
    </sheetView>
  </sheetViews>
  <sheetFormatPr defaultColWidth="9.140625" defaultRowHeight="12.75" x14ac:dyDescent="0.2"/>
  <cols>
    <col min="1" max="2" width="16.7109375" style="88" customWidth="1"/>
    <col min="3" max="3" width="17.140625" style="88" customWidth="1"/>
    <col min="4" max="4" width="16" style="88" customWidth="1"/>
    <col min="5" max="5" width="4.42578125" style="88" customWidth="1"/>
    <col min="6" max="6" width="14.42578125" style="88" customWidth="1"/>
    <col min="7" max="7" width="15.28515625" style="88" customWidth="1"/>
    <col min="8" max="8" width="12.28515625" style="88" customWidth="1"/>
    <col min="9" max="9" width="11.140625" style="88" customWidth="1"/>
    <col min="10" max="10" width="9.140625" style="88"/>
    <col min="11" max="11" width="11.7109375" style="88" customWidth="1"/>
    <col min="12" max="16384" width="9.140625" style="88"/>
  </cols>
  <sheetData>
    <row r="1" spans="1:11" ht="15" x14ac:dyDescent="0.2">
      <c r="A1" s="262" t="s">
        <v>192</v>
      </c>
      <c r="B1" s="262"/>
      <c r="C1" s="262"/>
      <c r="D1" s="262"/>
      <c r="E1" s="262"/>
      <c r="F1" s="262"/>
      <c r="G1" s="262"/>
      <c r="H1" s="262"/>
      <c r="I1" s="262"/>
    </row>
    <row r="2" spans="1:11" ht="15" x14ac:dyDescent="0.2">
      <c r="A2" s="263" t="s">
        <v>193</v>
      </c>
      <c r="B2" s="263"/>
      <c r="C2" s="263"/>
      <c r="D2" s="263"/>
      <c r="E2" s="263"/>
      <c r="F2" s="263"/>
      <c r="G2" s="263"/>
      <c r="H2" s="263"/>
      <c r="I2" s="263"/>
    </row>
    <row r="3" spans="1:11" s="90" customFormat="1" ht="19.5" x14ac:dyDescent="0.4">
      <c r="A3" s="89" t="s">
        <v>116</v>
      </c>
    </row>
    <row r="4" spans="1:11" ht="15" customHeight="1" x14ac:dyDescent="0.2">
      <c r="A4" s="91"/>
    </row>
    <row r="5" spans="1:11" ht="14.25" customHeight="1" thickBot="1" x14ac:dyDescent="0.25">
      <c r="A5" s="92" t="s">
        <v>4</v>
      </c>
      <c r="B5" s="258" t="s">
        <v>198</v>
      </c>
      <c r="C5" s="258"/>
      <c r="D5" s="258"/>
      <c r="F5" s="270" t="s">
        <v>124</v>
      </c>
      <c r="G5" s="270"/>
      <c r="H5" s="270"/>
      <c r="I5" s="270"/>
      <c r="K5" s="93"/>
    </row>
    <row r="6" spans="1:11" ht="15" customHeight="1" x14ac:dyDescent="0.2">
      <c r="A6" s="94" t="s">
        <v>41</v>
      </c>
      <c r="B6" s="252">
        <v>42513</v>
      </c>
      <c r="C6" s="252"/>
      <c r="D6" s="252"/>
      <c r="E6" s="95"/>
      <c r="G6" s="96" t="s">
        <v>119</v>
      </c>
      <c r="H6" s="97"/>
      <c r="I6" s="96" t="s">
        <v>121</v>
      </c>
    </row>
    <row r="7" spans="1:11" ht="15" customHeight="1" x14ac:dyDescent="0.2">
      <c r="A7" s="98" t="s">
        <v>40</v>
      </c>
      <c r="B7" s="253" t="s">
        <v>341</v>
      </c>
      <c r="C7" s="253"/>
      <c r="D7" s="253"/>
      <c r="E7" s="90"/>
      <c r="G7" s="99" t="s">
        <v>120</v>
      </c>
      <c r="I7" s="99" t="s">
        <v>120</v>
      </c>
    </row>
    <row r="8" spans="1:11" ht="15" customHeight="1" thickBot="1" x14ac:dyDescent="0.25">
      <c r="A8" s="98" t="s">
        <v>1</v>
      </c>
      <c r="B8" s="254" t="s">
        <v>342</v>
      </c>
      <c r="C8" s="254"/>
      <c r="D8" s="254"/>
      <c r="E8" s="90"/>
      <c r="F8" s="100" t="s">
        <v>125</v>
      </c>
      <c r="G8" s="101">
        <f>CON_Target_2014_2015</f>
        <v>207437</v>
      </c>
      <c r="H8" s="100" t="s">
        <v>126</v>
      </c>
      <c r="I8" s="102">
        <f>CON_Target_2016_2017</f>
        <v>224431</v>
      </c>
    </row>
    <row r="9" spans="1:11" ht="15" customHeight="1" x14ac:dyDescent="0.2">
      <c r="A9" s="98" t="s">
        <v>2</v>
      </c>
      <c r="B9" s="251" t="s">
        <v>343</v>
      </c>
      <c r="C9" s="251"/>
      <c r="D9" s="251"/>
      <c r="E9" s="90"/>
      <c r="F9" s="100" t="s">
        <v>3</v>
      </c>
      <c r="G9" s="103">
        <f>CON_2014_MWH+CON_2015_MWH</f>
        <v>347072.55557441281</v>
      </c>
    </row>
    <row r="10" spans="1:11" ht="15" customHeight="1" thickBot="1" x14ac:dyDescent="0.25">
      <c r="A10" s="98"/>
      <c r="B10" s="104"/>
      <c r="C10" s="90"/>
      <c r="D10" s="90"/>
      <c r="E10" s="90"/>
      <c r="F10" s="100" t="s">
        <v>195</v>
      </c>
      <c r="G10" s="105">
        <f>G9-G8</f>
        <v>139635.55557441281</v>
      </c>
    </row>
    <row r="11" spans="1:11" s="90" customFormat="1" ht="13.5" thickBot="1" x14ac:dyDescent="0.25">
      <c r="A11" s="271" t="s">
        <v>33</v>
      </c>
      <c r="B11" s="271"/>
      <c r="C11" s="271"/>
      <c r="D11" s="271"/>
      <c r="E11" s="106"/>
      <c r="H11" s="88"/>
      <c r="I11" s="88"/>
    </row>
    <row r="12" spans="1:11" s="90" customFormat="1" x14ac:dyDescent="0.2">
      <c r="A12" s="265" t="s">
        <v>35</v>
      </c>
      <c r="B12" s="265"/>
      <c r="C12" s="269" t="s">
        <v>117</v>
      </c>
      <c r="D12" s="265"/>
      <c r="F12" s="88"/>
      <c r="G12" s="88"/>
      <c r="H12" s="88"/>
      <c r="I12" s="88"/>
    </row>
    <row r="13" spans="1:11" ht="38.25" x14ac:dyDescent="0.2">
      <c r="A13" s="107" t="s">
        <v>37</v>
      </c>
      <c r="B13" s="108" t="s">
        <v>36</v>
      </c>
      <c r="C13" s="108" t="s">
        <v>122</v>
      </c>
      <c r="D13" s="108" t="s">
        <v>123</v>
      </c>
    </row>
    <row r="14" spans="1:11" ht="15" customHeight="1" x14ac:dyDescent="0.2">
      <c r="A14" s="79">
        <v>1037184</v>
      </c>
      <c r="B14" s="80">
        <v>207437</v>
      </c>
      <c r="C14" s="79">
        <v>1122156</v>
      </c>
      <c r="D14" s="80">
        <v>224431</v>
      </c>
    </row>
    <row r="15" spans="1:11" ht="15" customHeight="1" thickBot="1" x14ac:dyDescent="0.25">
      <c r="A15" s="90"/>
      <c r="B15" s="90"/>
      <c r="C15" s="90"/>
      <c r="D15" s="90"/>
      <c r="E15" s="90"/>
      <c r="F15" s="90"/>
      <c r="G15" s="90"/>
    </row>
    <row r="16" spans="1:11" ht="13.5" thickTop="1" x14ac:dyDescent="0.2">
      <c r="A16" s="266" t="s">
        <v>3</v>
      </c>
      <c r="B16" s="266"/>
      <c r="C16" s="266"/>
      <c r="D16" s="266"/>
      <c r="E16" s="266"/>
      <c r="F16" s="266"/>
      <c r="G16" s="266"/>
    </row>
    <row r="17" spans="1:7" ht="15" customHeight="1" x14ac:dyDescent="0.2">
      <c r="A17" s="109"/>
      <c r="C17" s="265" t="s">
        <v>74</v>
      </c>
      <c r="D17" s="265"/>
      <c r="F17" s="265" t="s">
        <v>118</v>
      </c>
      <c r="G17" s="265"/>
    </row>
    <row r="18" spans="1:7" ht="30.75" customHeight="1" x14ac:dyDescent="0.2">
      <c r="B18" s="110" t="s">
        <v>24</v>
      </c>
      <c r="C18" s="111" t="s">
        <v>7</v>
      </c>
      <c r="D18" s="111" t="s">
        <v>8</v>
      </c>
      <c r="F18" s="111" t="s">
        <v>7</v>
      </c>
      <c r="G18" s="111" t="s">
        <v>8</v>
      </c>
    </row>
    <row r="19" spans="1:7" ht="15" customHeight="1" x14ac:dyDescent="0.2">
      <c r="B19" s="15" t="s">
        <v>9</v>
      </c>
      <c r="C19" s="255">
        <v>52114.044999999998</v>
      </c>
      <c r="D19" s="82">
        <v>16044170.67</v>
      </c>
      <c r="F19" s="255">
        <v>47569.493658751999</v>
      </c>
      <c r="G19" s="82">
        <v>15784369.914176358</v>
      </c>
    </row>
    <row r="20" spans="1:7" ht="15" customHeight="1" x14ac:dyDescent="0.2">
      <c r="B20" s="15" t="s">
        <v>10</v>
      </c>
      <c r="C20" s="255">
        <v>58674.448711680001</v>
      </c>
      <c r="D20" s="82">
        <v>18664979.91</v>
      </c>
      <c r="F20" s="255">
        <v>53044.839686860811</v>
      </c>
      <c r="G20" s="82">
        <v>17604083.391700409</v>
      </c>
    </row>
    <row r="21" spans="1:7" ht="15" customHeight="1" x14ac:dyDescent="0.2">
      <c r="B21" s="15" t="s">
        <v>11</v>
      </c>
      <c r="C21" s="255">
        <v>27751.679892480002</v>
      </c>
      <c r="D21" s="82">
        <v>4992831.88</v>
      </c>
      <c r="F21" s="255">
        <v>16043.68292352</v>
      </c>
      <c r="G21" s="82">
        <v>4741373.3141232301</v>
      </c>
    </row>
    <row r="22" spans="1:7" ht="15" customHeight="1" x14ac:dyDescent="0.2">
      <c r="B22" s="15" t="s">
        <v>12</v>
      </c>
      <c r="C22" s="255"/>
      <c r="D22" s="82"/>
      <c r="F22" s="255"/>
      <c r="G22" s="82"/>
    </row>
    <row r="23" spans="1:7" ht="15" customHeight="1" x14ac:dyDescent="0.2">
      <c r="B23" s="15" t="s">
        <v>20</v>
      </c>
      <c r="C23" s="255"/>
      <c r="D23" s="82"/>
      <c r="F23" s="255"/>
      <c r="G23" s="82"/>
    </row>
    <row r="24" spans="1:7" ht="15" customHeight="1" x14ac:dyDescent="0.2">
      <c r="B24" s="112" t="s">
        <v>21</v>
      </c>
      <c r="C24" s="255"/>
      <c r="D24" s="82"/>
      <c r="F24" s="255"/>
      <c r="G24" s="82"/>
    </row>
    <row r="25" spans="1:7" ht="15" customHeight="1" x14ac:dyDescent="0.2">
      <c r="B25" s="112" t="s">
        <v>5</v>
      </c>
      <c r="C25" s="83">
        <v>47975.736668159996</v>
      </c>
      <c r="D25" s="82">
        <v>1631620</v>
      </c>
      <c r="F25" s="83">
        <v>43898.629032959994</v>
      </c>
      <c r="G25" s="82">
        <v>864086</v>
      </c>
    </row>
    <row r="26" spans="1:7" ht="15" customHeight="1" x14ac:dyDescent="0.2">
      <c r="B26" s="84"/>
      <c r="C26" s="83"/>
      <c r="D26" s="82"/>
      <c r="F26" s="83"/>
      <c r="G26" s="82"/>
    </row>
    <row r="27" spans="1:7" ht="15" customHeight="1" x14ac:dyDescent="0.2">
      <c r="B27" s="84"/>
      <c r="C27" s="83"/>
      <c r="D27" s="82"/>
      <c r="F27" s="83"/>
      <c r="G27" s="82"/>
    </row>
    <row r="28" spans="1:7" ht="30.75" customHeight="1" x14ac:dyDescent="0.2">
      <c r="A28" s="267" t="s">
        <v>34</v>
      </c>
      <c r="B28" s="268"/>
      <c r="D28" s="113"/>
      <c r="G28" s="113"/>
    </row>
    <row r="29" spans="1:7" ht="15" customHeight="1" x14ac:dyDescent="0.2">
      <c r="B29" s="85"/>
      <c r="C29" s="114"/>
      <c r="D29" s="82"/>
      <c r="F29" s="114"/>
      <c r="G29" s="82"/>
    </row>
    <row r="30" spans="1:7" ht="15" customHeight="1" x14ac:dyDescent="0.2">
      <c r="B30" s="85"/>
      <c r="C30" s="115"/>
      <c r="D30" s="82"/>
      <c r="F30" s="115"/>
      <c r="G30" s="82"/>
    </row>
    <row r="31" spans="1:7" ht="15" customHeight="1" x14ac:dyDescent="0.2">
      <c r="B31" s="116" t="s">
        <v>6</v>
      </c>
      <c r="C31" s="117">
        <f>SUM(C19:C27)</f>
        <v>186515.91027231998</v>
      </c>
      <c r="D31" s="118">
        <f>SUM(D19:D30)</f>
        <v>41333602.460000001</v>
      </c>
      <c r="F31" s="117">
        <f>SUM(F19:F27)</f>
        <v>160556.6453020928</v>
      </c>
      <c r="G31" s="118">
        <f>SUM(G19:G30)</f>
        <v>38993912.619999997</v>
      </c>
    </row>
    <row r="32" spans="1:7" ht="15" customHeight="1" x14ac:dyDescent="0.2">
      <c r="A32" s="119"/>
      <c r="B32" s="120"/>
      <c r="C32" s="121"/>
      <c r="D32" s="120"/>
      <c r="E32" s="121"/>
    </row>
    <row r="33" spans="1:9" s="90" customFormat="1" ht="15" customHeight="1" x14ac:dyDescent="0.2">
      <c r="A33" s="92" t="s">
        <v>4</v>
      </c>
      <c r="B33" s="264" t="str">
        <f>CON_Utility_Name</f>
        <v>Seattle City Light</v>
      </c>
      <c r="C33" s="264"/>
      <c r="D33" s="264"/>
      <c r="E33" s="264"/>
      <c r="F33" s="88"/>
      <c r="G33" s="88"/>
    </row>
    <row r="34" spans="1:9" s="90" customFormat="1" x14ac:dyDescent="0.2">
      <c r="A34" s="122" t="s">
        <v>13</v>
      </c>
      <c r="B34" s="260">
        <v>2016</v>
      </c>
      <c r="C34" s="260"/>
      <c r="D34" s="260"/>
      <c r="E34" s="260"/>
    </row>
    <row r="35" spans="1:9" s="90" customFormat="1" x14ac:dyDescent="0.2">
      <c r="A35" s="122"/>
      <c r="B35" s="123"/>
      <c r="C35" s="123"/>
      <c r="D35" s="123"/>
      <c r="E35" s="123"/>
    </row>
    <row r="36" spans="1:9" ht="28.5" customHeight="1" x14ac:dyDescent="0.2">
      <c r="A36" s="259" t="s">
        <v>191</v>
      </c>
      <c r="B36" s="259"/>
      <c r="C36" s="259"/>
      <c r="D36" s="259"/>
      <c r="E36" s="259"/>
      <c r="F36" s="259"/>
      <c r="G36" s="259"/>
      <c r="H36" s="259"/>
      <c r="I36" s="259"/>
    </row>
    <row r="37" spans="1:9" s="77" customFormat="1" ht="270.75" customHeight="1" x14ac:dyDescent="0.2">
      <c r="A37" s="261"/>
      <c r="B37" s="261"/>
      <c r="C37" s="261"/>
      <c r="D37" s="261"/>
      <c r="E37" s="261"/>
      <c r="F37" s="261"/>
      <c r="G37" s="261"/>
      <c r="H37" s="261"/>
      <c r="I37" s="261"/>
    </row>
    <row r="38" spans="1:9" s="77" customFormat="1" x14ac:dyDescent="0.2"/>
    <row r="39" spans="1:9" s="77" customFormat="1" x14ac:dyDescent="0.2"/>
    <row r="40" spans="1:9" s="77" customFormat="1" x14ac:dyDescent="0.2"/>
    <row r="41" spans="1:9" s="77" customFormat="1" x14ac:dyDescent="0.2"/>
    <row r="42" spans="1:9" s="77" customFormat="1" x14ac:dyDescent="0.2"/>
    <row r="43" spans="1:9" s="77" customFormat="1" x14ac:dyDescent="0.2"/>
    <row r="44" spans="1:9" s="77" customFormat="1" x14ac:dyDescent="0.2"/>
    <row r="45" spans="1:9" s="77" customFormat="1" x14ac:dyDescent="0.2"/>
    <row r="46" spans="1:9" s="77" customFormat="1" x14ac:dyDescent="0.2"/>
    <row r="47" spans="1:9" s="77" customFormat="1" x14ac:dyDescent="0.2"/>
    <row r="48" spans="1:9" s="77" customFormat="1" x14ac:dyDescent="0.2"/>
    <row r="49" s="77" customFormat="1" x14ac:dyDescent="0.2"/>
    <row r="50" s="77" customFormat="1" x14ac:dyDescent="0.2"/>
    <row r="51" s="77" customFormat="1" x14ac:dyDescent="0.2"/>
    <row r="52" s="77" customFormat="1" x14ac:dyDescent="0.2"/>
    <row r="53" s="77" customFormat="1" x14ac:dyDescent="0.2"/>
    <row r="54" s="77" customFormat="1" x14ac:dyDescent="0.2"/>
    <row r="55" s="77" customFormat="1" x14ac:dyDescent="0.2"/>
    <row r="56" s="77" customFormat="1" x14ac:dyDescent="0.2"/>
  </sheetData>
  <mergeCells count="16">
    <mergeCell ref="A36:I36"/>
    <mergeCell ref="B34:E34"/>
    <mergeCell ref="A37:I37"/>
    <mergeCell ref="A1:I1"/>
    <mergeCell ref="A2:I2"/>
    <mergeCell ref="B33:E33"/>
    <mergeCell ref="A12:B12"/>
    <mergeCell ref="F16:G16"/>
    <mergeCell ref="A16:E16"/>
    <mergeCell ref="A28:B28"/>
    <mergeCell ref="C17:D17"/>
    <mergeCell ref="C12:D12"/>
    <mergeCell ref="F17:G17"/>
    <mergeCell ref="F5:I5"/>
    <mergeCell ref="A11:D11"/>
    <mergeCell ref="B5:D5"/>
  </mergeCells>
  <hyperlinks>
    <hyperlink ref="B9" r:id="rId1"/>
  </hyperlinks>
  <pageMargins left="0.7" right="0.7" top="0.75" bottom="0.75" header="0.3" footer="0.3"/>
  <pageSetup scale="98" fitToHeight="0" orientation="landscape" r:id="rId2"/>
  <rowBreaks count="1" manualBreakCount="1">
    <brk id="31"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topLeftCell="A82" zoomScaleNormal="100" zoomScaleSheetLayoutView="100" workbookViewId="0">
      <selection activeCell="P21" sqref="P21"/>
    </sheetView>
  </sheetViews>
  <sheetFormatPr defaultColWidth="9.140625" defaultRowHeight="12.75" x14ac:dyDescent="0.2"/>
  <cols>
    <col min="1" max="1" width="30.140625" style="1" customWidth="1"/>
    <col min="2" max="2" width="11.7109375" style="1" customWidth="1"/>
    <col min="3" max="3" width="10.28515625" style="1" customWidth="1"/>
    <col min="4" max="12" width="10.7109375" style="1" customWidth="1"/>
    <col min="13" max="13" width="12.85546875" style="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305" t="s">
        <v>192</v>
      </c>
      <c r="B1" s="305"/>
      <c r="C1" s="305"/>
      <c r="D1" s="305"/>
      <c r="E1" s="305"/>
      <c r="F1" s="305"/>
      <c r="G1" s="305"/>
      <c r="H1" s="305"/>
      <c r="I1" s="305"/>
      <c r="J1" s="305"/>
      <c r="K1" s="305"/>
      <c r="L1" s="305"/>
      <c r="M1" s="305"/>
      <c r="N1" s="305"/>
    </row>
    <row r="2" spans="1:33" ht="15" customHeight="1" x14ac:dyDescent="0.2">
      <c r="A2" s="306" t="s">
        <v>193</v>
      </c>
      <c r="B2" s="306"/>
      <c r="C2" s="306"/>
      <c r="D2" s="306"/>
      <c r="E2" s="306"/>
      <c r="F2" s="306"/>
      <c r="G2" s="306"/>
      <c r="H2" s="306"/>
      <c r="I2" s="306"/>
      <c r="J2" s="306"/>
      <c r="K2" s="306"/>
      <c r="L2" s="306"/>
      <c r="M2" s="306"/>
      <c r="N2" s="306"/>
    </row>
    <row r="3" spans="1:33" s="7" customFormat="1" ht="19.5" x14ac:dyDescent="0.4">
      <c r="A3" s="26" t="s">
        <v>127</v>
      </c>
      <c r="B3" s="26"/>
      <c r="C3" s="26"/>
      <c r="AB3" s="24" t="s">
        <v>27</v>
      </c>
      <c r="AG3" s="21"/>
    </row>
    <row r="4" spans="1:33" ht="14.25" x14ac:dyDescent="0.2">
      <c r="A4" s="48"/>
      <c r="B4" s="48"/>
      <c r="C4" s="48"/>
      <c r="H4" s="291" t="s">
        <v>26</v>
      </c>
      <c r="I4" s="292"/>
      <c r="J4" s="292"/>
      <c r="K4" s="292"/>
      <c r="L4" s="292"/>
      <c r="M4" s="293"/>
      <c r="AB4" s="25" t="s">
        <v>28</v>
      </c>
      <c r="AG4" s="19"/>
    </row>
    <row r="5" spans="1:33" ht="15" customHeight="1" x14ac:dyDescent="0.2">
      <c r="A5" s="3" t="s">
        <v>4</v>
      </c>
      <c r="B5" s="258" t="s">
        <v>198</v>
      </c>
      <c r="C5" s="258"/>
      <c r="D5" s="258"/>
      <c r="H5" s="29"/>
      <c r="I5" s="7"/>
      <c r="J5" s="7"/>
      <c r="K5" s="7"/>
      <c r="L5" s="28" t="s">
        <v>99</v>
      </c>
      <c r="M5" s="124">
        <v>9340584</v>
      </c>
      <c r="AB5" s="25" t="s">
        <v>29</v>
      </c>
      <c r="AG5" s="19"/>
    </row>
    <row r="6" spans="1:33" ht="15" customHeight="1" thickBot="1" x14ac:dyDescent="0.25">
      <c r="A6" s="4" t="s">
        <v>41</v>
      </c>
      <c r="B6" s="287">
        <v>42521</v>
      </c>
      <c r="C6" s="287"/>
      <c r="D6" s="287"/>
      <c r="H6" s="29"/>
      <c r="I6" s="7"/>
      <c r="J6" s="7"/>
      <c r="K6" s="7"/>
      <c r="L6" s="28" t="s">
        <v>132</v>
      </c>
      <c r="M6" s="124">
        <v>9157494</v>
      </c>
      <c r="AB6" s="25" t="s">
        <v>30</v>
      </c>
      <c r="AG6" s="20"/>
    </row>
    <row r="7" spans="1:33" ht="15" customHeight="1" x14ac:dyDescent="0.2">
      <c r="A7" s="5" t="s">
        <v>0</v>
      </c>
      <c r="B7" s="288" t="s">
        <v>201</v>
      </c>
      <c r="C7" s="288"/>
      <c r="D7" s="288"/>
      <c r="H7" s="29"/>
      <c r="I7" s="7"/>
      <c r="J7" s="7"/>
      <c r="K7" s="7"/>
      <c r="L7" s="28" t="s">
        <v>100</v>
      </c>
      <c r="M7" s="46">
        <f>IF(REN_Load_2015+REN_Load_2014&gt;0,AVERAGE(REN_Load_2015,REN_Load_2014),0)</f>
        <v>9249039</v>
      </c>
    </row>
    <row r="8" spans="1:33" ht="15" customHeight="1" x14ac:dyDescent="0.2">
      <c r="A8" s="5" t="s">
        <v>1</v>
      </c>
      <c r="B8" s="288" t="s">
        <v>199</v>
      </c>
      <c r="C8" s="288"/>
      <c r="D8" s="288"/>
      <c r="H8" s="29"/>
      <c r="I8" s="7"/>
      <c r="J8" s="7"/>
      <c r="K8" s="7"/>
      <c r="L8" s="28" t="s">
        <v>133</v>
      </c>
      <c r="M8" s="182">
        <v>0.09</v>
      </c>
    </row>
    <row r="9" spans="1:33" ht="15" customHeight="1" x14ac:dyDescent="0.2">
      <c r="A9" s="5" t="s">
        <v>2</v>
      </c>
      <c r="B9" s="289" t="s">
        <v>200</v>
      </c>
      <c r="C9" s="290"/>
      <c r="D9" s="290"/>
      <c r="H9" s="33"/>
      <c r="I9" s="7"/>
      <c r="J9" s="7"/>
      <c r="K9" s="7"/>
      <c r="L9" s="28" t="s">
        <v>141</v>
      </c>
      <c r="M9" s="46">
        <f>ROUND(M7*M8,0)</f>
        <v>832414</v>
      </c>
    </row>
    <row r="10" spans="1:33" ht="15" customHeight="1" x14ac:dyDescent="0.2">
      <c r="A10" s="5"/>
      <c r="B10" s="5"/>
      <c r="C10" s="5"/>
      <c r="D10" s="18"/>
      <c r="H10" s="30"/>
      <c r="I10" s="31"/>
      <c r="J10" s="31"/>
      <c r="K10" s="31"/>
      <c r="L10" s="32" t="s">
        <v>134</v>
      </c>
      <c r="M10" s="47">
        <f>SUM(C20:N20)</f>
        <v>832415</v>
      </c>
    </row>
    <row r="11" spans="1:33" ht="15" customHeight="1" x14ac:dyDescent="0.2">
      <c r="A11" s="3" t="s">
        <v>128</v>
      </c>
      <c r="B11" s="42"/>
      <c r="C11" s="42"/>
    </row>
    <row r="12" spans="1:33" ht="15" customHeight="1" x14ac:dyDescent="0.2">
      <c r="B12" s="48"/>
      <c r="C12" s="48"/>
      <c r="F12" s="294" t="s">
        <v>139</v>
      </c>
      <c r="G12" s="295"/>
      <c r="H12" s="295"/>
      <c r="I12" s="295"/>
      <c r="J12" s="295"/>
      <c r="K12" s="295"/>
      <c r="L12" s="295"/>
      <c r="M12" s="296"/>
    </row>
    <row r="13" spans="1:33" s="22" customFormat="1" ht="14.25" customHeight="1" x14ac:dyDescent="0.25">
      <c r="A13" s="1"/>
      <c r="B13" s="23"/>
      <c r="C13" s="23"/>
      <c r="F13" s="29" t="s">
        <v>72</v>
      </c>
      <c r="G13" s="36"/>
      <c r="H13" s="36"/>
      <c r="I13" s="36"/>
      <c r="J13" s="36"/>
      <c r="K13" s="36"/>
      <c r="L13" s="7"/>
      <c r="M13" s="44">
        <f>'Renewable Cost Report'!K30+'Renewable Cost Report'!E62</f>
        <v>28447732.725646157</v>
      </c>
    </row>
    <row r="14" spans="1:33" x14ac:dyDescent="0.2">
      <c r="B14" s="48"/>
      <c r="C14" s="48"/>
      <c r="F14" s="29" t="s">
        <v>140</v>
      </c>
      <c r="G14" s="34"/>
      <c r="H14" s="34"/>
      <c r="I14" s="34"/>
      <c r="J14" s="34"/>
      <c r="K14" s="7"/>
      <c r="L14" s="7"/>
      <c r="M14" s="125">
        <v>810741087</v>
      </c>
    </row>
    <row r="15" spans="1:33" x14ac:dyDescent="0.2">
      <c r="F15" s="37" t="s">
        <v>73</v>
      </c>
      <c r="G15" s="35"/>
      <c r="H15" s="35"/>
      <c r="I15" s="35"/>
      <c r="J15" s="35"/>
      <c r="K15" s="31"/>
      <c r="L15" s="31"/>
      <c r="M15" s="45">
        <f>IF(REN_RetailRevenueRequirement_2016&gt;0,REN_Expenditure_Amount_2016/REN_RetailRevenueRequirement_2016,"")</f>
        <v>3.5088554387827833E-2</v>
      </c>
    </row>
    <row r="16" spans="1:33" ht="17.45" customHeight="1" x14ac:dyDescent="0.2">
      <c r="H16" s="304"/>
      <c r="I16" s="304"/>
      <c r="J16" s="304"/>
      <c r="K16" s="304"/>
      <c r="L16" s="304"/>
      <c r="M16" s="16"/>
      <c r="N16" s="11"/>
      <c r="O16" s="11"/>
    </row>
    <row r="17" spans="1:33" ht="36" customHeight="1" x14ac:dyDescent="0.2">
      <c r="A17" s="9"/>
      <c r="C17" s="54" t="s">
        <v>14</v>
      </c>
      <c r="D17" s="55" t="s">
        <v>15</v>
      </c>
      <c r="E17" s="55" t="s">
        <v>173</v>
      </c>
      <c r="F17" s="55" t="s">
        <v>174</v>
      </c>
      <c r="G17" s="55" t="s">
        <v>16</v>
      </c>
      <c r="H17" s="55" t="s">
        <v>23</v>
      </c>
      <c r="I17" s="55" t="s">
        <v>17</v>
      </c>
      <c r="J17" s="55" t="s">
        <v>172</v>
      </c>
      <c r="K17" s="55" t="s">
        <v>176</v>
      </c>
      <c r="L17" s="62" t="s">
        <v>177</v>
      </c>
      <c r="M17" s="54" t="s">
        <v>185</v>
      </c>
      <c r="N17" s="56" t="s">
        <v>186</v>
      </c>
      <c r="O17" s="11"/>
    </row>
    <row r="18" spans="1:33" ht="15" customHeight="1" x14ac:dyDescent="0.2">
      <c r="B18" s="4" t="s">
        <v>25</v>
      </c>
      <c r="C18" s="57">
        <f t="shared" ref="C18:L18" si="0">SUMIF($C40:$C60,C$17,$E40:$E60)</f>
        <v>3205</v>
      </c>
      <c r="D18" s="51">
        <f t="shared" si="0"/>
        <v>0</v>
      </c>
      <c r="E18" s="51">
        <f t="shared" si="0"/>
        <v>0</v>
      </c>
      <c r="F18" s="51">
        <f t="shared" si="0"/>
        <v>0</v>
      </c>
      <c r="G18" s="51">
        <f t="shared" si="0"/>
        <v>0</v>
      </c>
      <c r="H18" s="51">
        <f t="shared" si="0"/>
        <v>0</v>
      </c>
      <c r="I18" s="51">
        <f t="shared" si="0"/>
        <v>0</v>
      </c>
      <c r="J18" s="51">
        <f t="shared" si="0"/>
        <v>0</v>
      </c>
      <c r="K18" s="51">
        <f t="shared" si="0"/>
        <v>0</v>
      </c>
      <c r="L18" s="63">
        <f t="shared" si="0"/>
        <v>0</v>
      </c>
      <c r="M18" s="57">
        <f>SUM(F40:F60)</f>
        <v>0</v>
      </c>
      <c r="N18" s="58"/>
      <c r="O18" s="76"/>
    </row>
    <row r="19" spans="1:33" ht="16.5" customHeight="1" x14ac:dyDescent="0.2">
      <c r="B19" s="4" t="s">
        <v>18</v>
      </c>
      <c r="C19" s="59"/>
      <c r="D19" s="52">
        <f t="shared" ref="D19:L19" si="1">SUMIF($D67:$D91,D$17,$G67:$G91)</f>
        <v>603259</v>
      </c>
      <c r="E19" s="52">
        <f t="shared" si="1"/>
        <v>0</v>
      </c>
      <c r="F19" s="52">
        <f t="shared" si="1"/>
        <v>75357</v>
      </c>
      <c r="G19" s="52">
        <f t="shared" si="1"/>
        <v>90187</v>
      </c>
      <c r="H19" s="52">
        <f t="shared" si="1"/>
        <v>0</v>
      </c>
      <c r="I19" s="52">
        <f t="shared" si="1"/>
        <v>17500</v>
      </c>
      <c r="J19" s="52">
        <f t="shared" si="1"/>
        <v>0</v>
      </c>
      <c r="K19" s="52">
        <f t="shared" si="1"/>
        <v>25407</v>
      </c>
      <c r="L19" s="64">
        <f t="shared" si="1"/>
        <v>0</v>
      </c>
      <c r="M19" s="65">
        <f>SUM(H67:H91)</f>
        <v>0</v>
      </c>
      <c r="N19" s="60">
        <f>SUM(I67:I91)</f>
        <v>17500</v>
      </c>
      <c r="O19" s="11"/>
    </row>
    <row r="20" spans="1:33" ht="16.5" customHeight="1" x14ac:dyDescent="0.2">
      <c r="B20" s="5" t="s">
        <v>131</v>
      </c>
      <c r="C20" s="61">
        <f>C18</f>
        <v>3205</v>
      </c>
      <c r="D20" s="53">
        <f t="shared" ref="D20:L20" si="2">D18+D19</f>
        <v>603259</v>
      </c>
      <c r="E20" s="53">
        <f t="shared" si="2"/>
        <v>0</v>
      </c>
      <c r="F20" s="53">
        <f t="shared" si="2"/>
        <v>75357</v>
      </c>
      <c r="G20" s="53">
        <f t="shared" si="2"/>
        <v>90187</v>
      </c>
      <c r="H20" s="53">
        <f t="shared" si="2"/>
        <v>0</v>
      </c>
      <c r="I20" s="53">
        <f t="shared" si="2"/>
        <v>17500</v>
      </c>
      <c r="J20" s="53">
        <f t="shared" si="2"/>
        <v>0</v>
      </c>
      <c r="K20" s="53">
        <f t="shared" si="2"/>
        <v>25407</v>
      </c>
      <c r="L20" s="53">
        <f t="shared" si="2"/>
        <v>0</v>
      </c>
      <c r="M20" s="61">
        <f>M18+M19</f>
        <v>0</v>
      </c>
      <c r="N20" s="60">
        <f>N19</f>
        <v>17500</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78" t="s">
        <v>22</v>
      </c>
      <c r="B36" s="6"/>
      <c r="C36" s="6"/>
      <c r="D36" s="9" t="s">
        <v>4</v>
      </c>
      <c r="E36" s="272" t="str">
        <f>B5</f>
        <v>Seattle City Light</v>
      </c>
      <c r="F36" s="273"/>
      <c r="G36" s="274"/>
    </row>
    <row r="37" spans="1:33" ht="15" customHeight="1" x14ac:dyDescent="0.2">
      <c r="A37" s="278"/>
      <c r="D37" s="9" t="s">
        <v>13</v>
      </c>
      <c r="E37" s="275">
        <v>2016</v>
      </c>
      <c r="F37" s="276"/>
      <c r="G37" s="277"/>
    </row>
    <row r="38" spans="1:33" ht="15" customHeight="1" x14ac:dyDescent="0.2">
      <c r="D38" s="9"/>
      <c r="E38" s="42"/>
      <c r="F38" s="8"/>
      <c r="G38" s="8"/>
    </row>
    <row r="39" spans="1:33" s="10" customFormat="1" ht="52.5" customHeight="1" x14ac:dyDescent="0.2">
      <c r="A39" s="27" t="s">
        <v>19</v>
      </c>
      <c r="B39" s="66" t="s">
        <v>31</v>
      </c>
      <c r="C39" s="49" t="s">
        <v>175</v>
      </c>
      <c r="D39" s="67" t="s">
        <v>178</v>
      </c>
      <c r="E39" s="49" t="s">
        <v>190</v>
      </c>
      <c r="F39" s="49" t="s">
        <v>189</v>
      </c>
      <c r="G39" s="286" t="s">
        <v>184</v>
      </c>
      <c r="H39" s="286"/>
      <c r="I39" s="286"/>
      <c r="J39" s="286"/>
      <c r="K39" s="286"/>
      <c r="L39" s="14"/>
      <c r="M39" s="14"/>
      <c r="N39" s="14"/>
      <c r="AG39" s="7"/>
    </row>
    <row r="40" spans="1:33" ht="15" customHeight="1" x14ac:dyDescent="0.2">
      <c r="A40" s="126" t="s">
        <v>202</v>
      </c>
      <c r="B40" s="127" t="s">
        <v>203</v>
      </c>
      <c r="C40" s="214" t="s">
        <v>14</v>
      </c>
      <c r="D40" s="81" t="s">
        <v>179</v>
      </c>
      <c r="E40" s="128">
        <v>3205</v>
      </c>
      <c r="F40" s="51">
        <f>IF(D40="Yes",0.2*E40,0)</f>
        <v>0</v>
      </c>
      <c r="G40" s="301" t="s">
        <v>323</v>
      </c>
      <c r="H40" s="302"/>
      <c r="I40" s="302"/>
      <c r="J40" s="302"/>
      <c r="K40" s="303"/>
      <c r="L40" s="14"/>
      <c r="M40" s="14"/>
      <c r="N40" s="14"/>
    </row>
    <row r="41" spans="1:33" ht="15" customHeight="1" x14ac:dyDescent="0.2">
      <c r="A41" s="129"/>
      <c r="B41" s="130"/>
      <c r="C41" s="215"/>
      <c r="D41" s="81" t="s">
        <v>179</v>
      </c>
      <c r="E41" s="131"/>
      <c r="F41" s="68">
        <f t="shared" ref="F41:F60" si="3">IF(D41="Yes",0.2*E41,0)</f>
        <v>0</v>
      </c>
      <c r="G41" s="283"/>
      <c r="H41" s="284"/>
      <c r="I41" s="284"/>
      <c r="J41" s="284"/>
      <c r="K41" s="285"/>
      <c r="L41" s="14"/>
      <c r="M41" s="14"/>
      <c r="N41" s="14"/>
    </row>
    <row r="42" spans="1:33" ht="15" customHeight="1" x14ac:dyDescent="0.2">
      <c r="A42" s="129"/>
      <c r="B42" s="130"/>
      <c r="C42" s="215"/>
      <c r="D42" s="81" t="s">
        <v>179</v>
      </c>
      <c r="E42" s="131"/>
      <c r="F42" s="68">
        <f t="shared" si="3"/>
        <v>0</v>
      </c>
      <c r="G42" s="141"/>
      <c r="H42" s="142"/>
      <c r="I42" s="142"/>
      <c r="J42" s="142"/>
      <c r="K42" s="143"/>
      <c r="L42" s="14"/>
      <c r="M42" s="14"/>
      <c r="N42" s="14"/>
    </row>
    <row r="43" spans="1:33" ht="15" customHeight="1" x14ac:dyDescent="0.2">
      <c r="A43" s="132"/>
      <c r="B43" s="133"/>
      <c r="C43" s="216"/>
      <c r="D43" s="81" t="s">
        <v>179</v>
      </c>
      <c r="E43" s="131"/>
      <c r="F43" s="68">
        <f t="shared" si="3"/>
        <v>0</v>
      </c>
      <c r="G43" s="283"/>
      <c r="H43" s="284"/>
      <c r="I43" s="284"/>
      <c r="J43" s="284"/>
      <c r="K43" s="285"/>
      <c r="L43" s="14"/>
      <c r="M43" s="14"/>
      <c r="N43" s="14"/>
    </row>
    <row r="44" spans="1:33" ht="15" customHeight="1" x14ac:dyDescent="0.2">
      <c r="A44" s="134"/>
      <c r="B44" s="135"/>
      <c r="C44" s="217"/>
      <c r="D44" s="81" t="s">
        <v>179</v>
      </c>
      <c r="E44" s="131"/>
      <c r="F44" s="68">
        <f t="shared" si="3"/>
        <v>0</v>
      </c>
      <c r="G44" s="283"/>
      <c r="H44" s="284"/>
      <c r="I44" s="284"/>
      <c r="J44" s="284"/>
      <c r="K44" s="285"/>
      <c r="L44" s="14"/>
      <c r="M44" s="14"/>
      <c r="N44" s="14"/>
    </row>
    <row r="45" spans="1:33" ht="15" customHeight="1" x14ac:dyDescent="0.2">
      <c r="A45" s="136"/>
      <c r="B45" s="137"/>
      <c r="C45" s="218"/>
      <c r="D45" s="81" t="s">
        <v>179</v>
      </c>
      <c r="E45" s="131"/>
      <c r="F45" s="68">
        <f t="shared" si="3"/>
        <v>0</v>
      </c>
      <c r="G45" s="283"/>
      <c r="H45" s="284"/>
      <c r="I45" s="284"/>
      <c r="J45" s="284"/>
      <c r="K45" s="285"/>
      <c r="L45" s="14"/>
      <c r="M45" s="14"/>
      <c r="N45" s="14"/>
    </row>
    <row r="46" spans="1:33" ht="15" customHeight="1" x14ac:dyDescent="0.2">
      <c r="A46" s="136"/>
      <c r="B46" s="137"/>
      <c r="C46" s="218"/>
      <c r="D46" s="81" t="s">
        <v>179</v>
      </c>
      <c r="E46" s="131"/>
      <c r="F46" s="68">
        <f t="shared" si="3"/>
        <v>0</v>
      </c>
      <c r="G46" s="283"/>
      <c r="H46" s="284"/>
      <c r="I46" s="284"/>
      <c r="J46" s="284"/>
      <c r="K46" s="285"/>
      <c r="L46" s="14"/>
      <c r="M46" s="14"/>
      <c r="N46" s="14"/>
    </row>
    <row r="47" spans="1:33" ht="15" customHeight="1" x14ac:dyDescent="0.2">
      <c r="A47" s="136"/>
      <c r="B47" s="137"/>
      <c r="C47" s="218"/>
      <c r="D47" s="81" t="s">
        <v>179</v>
      </c>
      <c r="E47" s="131"/>
      <c r="F47" s="68">
        <f t="shared" si="3"/>
        <v>0</v>
      </c>
      <c r="G47" s="283"/>
      <c r="H47" s="284"/>
      <c r="I47" s="284"/>
      <c r="J47" s="284"/>
      <c r="K47" s="285"/>
      <c r="L47" s="14"/>
      <c r="M47" s="14"/>
      <c r="N47" s="14"/>
    </row>
    <row r="48" spans="1:33" ht="15" customHeight="1" x14ac:dyDescent="0.2">
      <c r="A48" s="136"/>
      <c r="B48" s="137"/>
      <c r="C48" s="218"/>
      <c r="D48" s="81" t="s">
        <v>179</v>
      </c>
      <c r="E48" s="131"/>
      <c r="F48" s="68">
        <f t="shared" si="3"/>
        <v>0</v>
      </c>
      <c r="G48" s="283"/>
      <c r="H48" s="284"/>
      <c r="I48" s="284"/>
      <c r="J48" s="284"/>
      <c r="K48" s="285"/>
      <c r="L48" s="14"/>
      <c r="M48" s="14"/>
      <c r="N48" s="14"/>
    </row>
    <row r="49" spans="1:14" ht="15" customHeight="1" x14ac:dyDescent="0.2">
      <c r="A49" s="136"/>
      <c r="B49" s="137"/>
      <c r="C49" s="218"/>
      <c r="D49" s="81" t="s">
        <v>179</v>
      </c>
      <c r="E49" s="131"/>
      <c r="F49" s="68">
        <f t="shared" si="3"/>
        <v>0</v>
      </c>
      <c r="G49" s="283"/>
      <c r="H49" s="284"/>
      <c r="I49" s="284"/>
      <c r="J49" s="284"/>
      <c r="K49" s="285"/>
      <c r="L49" s="14"/>
      <c r="M49" s="14"/>
      <c r="N49" s="14"/>
    </row>
    <row r="50" spans="1:14" ht="15" customHeight="1" x14ac:dyDescent="0.2">
      <c r="A50" s="136"/>
      <c r="B50" s="137"/>
      <c r="C50" s="218"/>
      <c r="D50" s="81" t="s">
        <v>179</v>
      </c>
      <c r="E50" s="131"/>
      <c r="F50" s="68">
        <f t="shared" si="3"/>
        <v>0</v>
      </c>
      <c r="G50" s="283"/>
      <c r="H50" s="284"/>
      <c r="I50" s="284"/>
      <c r="J50" s="284"/>
      <c r="K50" s="285"/>
      <c r="L50" s="14"/>
      <c r="M50" s="14"/>
      <c r="N50" s="14"/>
    </row>
    <row r="51" spans="1:14" ht="15" customHeight="1" x14ac:dyDescent="0.2">
      <c r="A51" s="136"/>
      <c r="B51" s="137"/>
      <c r="C51" s="218"/>
      <c r="D51" s="81" t="s">
        <v>179</v>
      </c>
      <c r="E51" s="131"/>
      <c r="F51" s="68">
        <f t="shared" si="3"/>
        <v>0</v>
      </c>
      <c r="G51" s="283"/>
      <c r="H51" s="284"/>
      <c r="I51" s="284"/>
      <c r="J51" s="284"/>
      <c r="K51" s="285"/>
      <c r="L51" s="14"/>
      <c r="M51" s="14"/>
      <c r="N51" s="14"/>
    </row>
    <row r="52" spans="1:14" ht="15" customHeight="1" x14ac:dyDescent="0.2">
      <c r="A52" s="136"/>
      <c r="B52" s="137"/>
      <c r="C52" s="218"/>
      <c r="D52" s="81" t="s">
        <v>179</v>
      </c>
      <c r="E52" s="131"/>
      <c r="F52" s="68">
        <f t="shared" si="3"/>
        <v>0</v>
      </c>
      <c r="G52" s="283"/>
      <c r="H52" s="284"/>
      <c r="I52" s="284"/>
      <c r="J52" s="284"/>
      <c r="K52" s="285"/>
      <c r="L52" s="14"/>
      <c r="M52" s="14"/>
      <c r="N52" s="14"/>
    </row>
    <row r="53" spans="1:14" ht="15" customHeight="1" x14ac:dyDescent="0.2">
      <c r="A53" s="136"/>
      <c r="B53" s="137"/>
      <c r="C53" s="218"/>
      <c r="D53" s="81" t="s">
        <v>179</v>
      </c>
      <c r="E53" s="131"/>
      <c r="F53" s="68">
        <f t="shared" si="3"/>
        <v>0</v>
      </c>
      <c r="G53" s="283"/>
      <c r="H53" s="284"/>
      <c r="I53" s="284"/>
      <c r="J53" s="284"/>
      <c r="K53" s="285"/>
      <c r="L53" s="14"/>
      <c r="M53" s="14"/>
      <c r="N53" s="14"/>
    </row>
    <row r="54" spans="1:14" ht="15" customHeight="1" x14ac:dyDescent="0.2">
      <c r="A54" s="136"/>
      <c r="B54" s="137"/>
      <c r="C54" s="218"/>
      <c r="D54" s="81" t="s">
        <v>179</v>
      </c>
      <c r="E54" s="131"/>
      <c r="F54" s="68">
        <f t="shared" si="3"/>
        <v>0</v>
      </c>
      <c r="G54" s="283"/>
      <c r="H54" s="284"/>
      <c r="I54" s="284"/>
      <c r="J54" s="284"/>
      <c r="K54" s="285"/>
      <c r="L54" s="14"/>
      <c r="M54" s="14"/>
      <c r="N54" s="14"/>
    </row>
    <row r="55" spans="1:14" ht="15" customHeight="1" x14ac:dyDescent="0.2">
      <c r="A55" s="136"/>
      <c r="B55" s="137"/>
      <c r="C55" s="218"/>
      <c r="D55" s="81" t="s">
        <v>179</v>
      </c>
      <c r="E55" s="131"/>
      <c r="F55" s="68">
        <f t="shared" si="3"/>
        <v>0</v>
      </c>
      <c r="G55" s="283"/>
      <c r="H55" s="284"/>
      <c r="I55" s="284"/>
      <c r="J55" s="284"/>
      <c r="K55" s="285"/>
      <c r="L55" s="14"/>
      <c r="M55" s="14"/>
      <c r="N55" s="14"/>
    </row>
    <row r="56" spans="1:14" ht="15" customHeight="1" x14ac:dyDescent="0.2">
      <c r="A56" s="136"/>
      <c r="B56" s="137"/>
      <c r="C56" s="218"/>
      <c r="D56" s="81" t="s">
        <v>179</v>
      </c>
      <c r="E56" s="131"/>
      <c r="F56" s="68">
        <f t="shared" si="3"/>
        <v>0</v>
      </c>
      <c r="G56" s="283"/>
      <c r="H56" s="284"/>
      <c r="I56" s="284"/>
      <c r="J56" s="284"/>
      <c r="K56" s="285"/>
      <c r="L56" s="14"/>
      <c r="M56" s="14"/>
      <c r="N56" s="14"/>
    </row>
    <row r="57" spans="1:14" ht="15" customHeight="1" x14ac:dyDescent="0.2">
      <c r="A57" s="136"/>
      <c r="B57" s="137"/>
      <c r="C57" s="218"/>
      <c r="D57" s="81" t="s">
        <v>179</v>
      </c>
      <c r="E57" s="131"/>
      <c r="F57" s="68">
        <f t="shared" si="3"/>
        <v>0</v>
      </c>
      <c r="G57" s="283"/>
      <c r="H57" s="284"/>
      <c r="I57" s="284"/>
      <c r="J57" s="284"/>
      <c r="K57" s="285"/>
      <c r="L57" s="14"/>
      <c r="M57" s="14"/>
      <c r="N57" s="14"/>
    </row>
    <row r="58" spans="1:14" ht="15" customHeight="1" x14ac:dyDescent="0.2">
      <c r="A58" s="136"/>
      <c r="B58" s="137"/>
      <c r="C58" s="218"/>
      <c r="D58" s="81" t="s">
        <v>179</v>
      </c>
      <c r="E58" s="131"/>
      <c r="F58" s="68">
        <f t="shared" si="3"/>
        <v>0</v>
      </c>
      <c r="G58" s="283"/>
      <c r="H58" s="284"/>
      <c r="I58" s="284"/>
      <c r="J58" s="284"/>
      <c r="K58" s="285"/>
      <c r="L58" s="14"/>
      <c r="M58" s="14"/>
      <c r="N58" s="14"/>
    </row>
    <row r="59" spans="1:14" ht="15" customHeight="1" x14ac:dyDescent="0.2">
      <c r="A59" s="136"/>
      <c r="B59" s="137"/>
      <c r="C59" s="218"/>
      <c r="D59" s="81" t="s">
        <v>179</v>
      </c>
      <c r="E59" s="131"/>
      <c r="F59" s="68">
        <f t="shared" si="3"/>
        <v>0</v>
      </c>
      <c r="G59" s="283"/>
      <c r="H59" s="284"/>
      <c r="I59" s="284"/>
      <c r="J59" s="284"/>
      <c r="K59" s="285"/>
      <c r="L59" s="14"/>
      <c r="M59" s="14"/>
      <c r="N59" s="14"/>
    </row>
    <row r="60" spans="1:14" ht="15" customHeight="1" x14ac:dyDescent="0.2">
      <c r="A60" s="138"/>
      <c r="B60" s="139"/>
      <c r="C60" s="219"/>
      <c r="D60" s="140" t="s">
        <v>179</v>
      </c>
      <c r="E60" s="79"/>
      <c r="F60" s="69">
        <f t="shared" si="3"/>
        <v>0</v>
      </c>
      <c r="G60" s="297"/>
      <c r="H60" s="298"/>
      <c r="I60" s="298"/>
      <c r="J60" s="298"/>
      <c r="K60" s="299"/>
      <c r="L60" s="14"/>
      <c r="M60" s="14"/>
      <c r="N60" s="14"/>
    </row>
    <row r="61" spans="1:14" ht="15" customHeight="1" x14ac:dyDescent="0.2">
      <c r="D61" s="7"/>
      <c r="E61" s="7"/>
      <c r="F61" s="7"/>
      <c r="G61" s="7"/>
      <c r="H61" s="7"/>
      <c r="I61" s="7"/>
      <c r="J61" s="7"/>
      <c r="K61" s="7"/>
      <c r="L61" s="7"/>
      <c r="M61" s="7"/>
    </row>
    <row r="62" spans="1:14" ht="17.25" customHeight="1" x14ac:dyDescent="0.2">
      <c r="A62" s="278" t="s">
        <v>18</v>
      </c>
      <c r="B62" s="278"/>
      <c r="C62" s="6"/>
      <c r="D62" s="9" t="s">
        <v>4</v>
      </c>
      <c r="E62" s="272" t="str">
        <f>B5</f>
        <v>Seattle City Light</v>
      </c>
      <c r="F62" s="273"/>
      <c r="G62" s="274"/>
    </row>
    <row r="63" spans="1:14" ht="15" customHeight="1" x14ac:dyDescent="0.2">
      <c r="A63" s="278"/>
      <c r="B63" s="278"/>
      <c r="D63" s="9" t="s">
        <v>13</v>
      </c>
      <c r="E63" s="275">
        <v>2016</v>
      </c>
      <c r="F63" s="276"/>
      <c r="G63" s="277"/>
    </row>
    <row r="64" spans="1:14" ht="15" customHeight="1" x14ac:dyDescent="0.2">
      <c r="A64" s="9"/>
      <c r="B64" s="9"/>
      <c r="C64" s="9"/>
      <c r="D64" s="9"/>
      <c r="G64" s="13"/>
      <c r="H64" s="7"/>
    </row>
    <row r="65" spans="1:33" s="10" customFormat="1" ht="38.25" customHeight="1" x14ac:dyDescent="0.2">
      <c r="A65" s="9"/>
      <c r="B65" s="279" t="s">
        <v>31</v>
      </c>
      <c r="C65" s="279" t="s">
        <v>129</v>
      </c>
      <c r="D65" s="281" t="s">
        <v>175</v>
      </c>
      <c r="E65" s="281" t="s">
        <v>178</v>
      </c>
      <c r="F65" s="281" t="s">
        <v>181</v>
      </c>
      <c r="G65" s="75" t="s">
        <v>183</v>
      </c>
      <c r="H65" s="75" t="s">
        <v>180</v>
      </c>
      <c r="I65" s="75" t="s">
        <v>182</v>
      </c>
      <c r="J65" s="300" t="s">
        <v>184</v>
      </c>
      <c r="K65" s="300"/>
      <c r="L65" s="300"/>
      <c r="M65" s="300"/>
      <c r="N65" s="14"/>
      <c r="O65" s="14"/>
      <c r="AG65" s="7"/>
    </row>
    <row r="66" spans="1:33" ht="15" customHeight="1" x14ac:dyDescent="0.2">
      <c r="A66" s="27" t="s">
        <v>19</v>
      </c>
      <c r="B66" s="280"/>
      <c r="C66" s="280"/>
      <c r="D66" s="282"/>
      <c r="E66" s="282"/>
      <c r="F66" s="282"/>
      <c r="G66" s="12" t="s">
        <v>130</v>
      </c>
      <c r="H66" s="50" t="s">
        <v>32</v>
      </c>
      <c r="I66" s="50" t="s">
        <v>32</v>
      </c>
      <c r="J66" s="300"/>
      <c r="K66" s="300"/>
      <c r="L66" s="300"/>
      <c r="M66" s="300"/>
      <c r="N66" s="14"/>
      <c r="O66" s="14"/>
      <c r="AG66" s="10"/>
    </row>
    <row r="67" spans="1:33" ht="15" customHeight="1" x14ac:dyDescent="0.2">
      <c r="A67" s="144" t="s">
        <v>227</v>
      </c>
      <c r="B67" s="145" t="s">
        <v>206</v>
      </c>
      <c r="C67" s="146">
        <v>2015</v>
      </c>
      <c r="D67" s="214" t="s">
        <v>15</v>
      </c>
      <c r="E67" s="81" t="s">
        <v>179</v>
      </c>
      <c r="F67" s="81" t="s">
        <v>179</v>
      </c>
      <c r="G67" s="128">
        <v>323305</v>
      </c>
      <c r="H67" s="51">
        <f>IF(E67="Yes",0.2*G67,0)</f>
        <v>0</v>
      </c>
      <c r="I67" s="51">
        <f>IF(F67="Yes",G67,0)</f>
        <v>0</v>
      </c>
      <c r="J67" s="301"/>
      <c r="K67" s="302"/>
      <c r="L67" s="302"/>
      <c r="M67" s="303"/>
      <c r="N67" s="14"/>
      <c r="O67" s="14"/>
    </row>
    <row r="68" spans="1:33" ht="15" customHeight="1" x14ac:dyDescent="0.2">
      <c r="A68" s="129" t="s">
        <v>204</v>
      </c>
      <c r="B68" s="130" t="s">
        <v>205</v>
      </c>
      <c r="C68" s="149">
        <v>2016</v>
      </c>
      <c r="D68" s="215" t="s">
        <v>17</v>
      </c>
      <c r="E68" s="81" t="s">
        <v>179</v>
      </c>
      <c r="F68" s="81" t="s">
        <v>207</v>
      </c>
      <c r="G68" s="150">
        <v>17500</v>
      </c>
      <c r="H68" s="155">
        <f t="shared" ref="H68:H90" si="4">IF(E68="Yes",0.2*G68,0)</f>
        <v>0</v>
      </c>
      <c r="I68" s="155">
        <f>IF(F68="Yes",G68,0)</f>
        <v>17500</v>
      </c>
      <c r="J68" s="283" t="s">
        <v>324</v>
      </c>
      <c r="K68" s="284"/>
      <c r="L68" s="284"/>
      <c r="M68" s="285"/>
      <c r="N68" s="14"/>
      <c r="O68" s="14"/>
    </row>
    <row r="69" spans="1:33" ht="15" customHeight="1" x14ac:dyDescent="0.2">
      <c r="A69" s="147" t="s">
        <v>208</v>
      </c>
      <c r="B69" s="148" t="s">
        <v>209</v>
      </c>
      <c r="C69" s="149">
        <v>2015</v>
      </c>
      <c r="D69" s="215" t="s">
        <v>16</v>
      </c>
      <c r="E69" s="81" t="s">
        <v>179</v>
      </c>
      <c r="F69" s="81" t="s">
        <v>179</v>
      </c>
      <c r="G69" s="150">
        <v>5906</v>
      </c>
      <c r="H69" s="155">
        <f t="shared" si="4"/>
        <v>0</v>
      </c>
      <c r="I69" s="155">
        <f t="shared" ref="I69:I91" si="5">IF(F69="Yes",G69,0)</f>
        <v>0</v>
      </c>
      <c r="J69" s="283"/>
      <c r="K69" s="284"/>
      <c r="L69" s="284"/>
      <c r="M69" s="285"/>
      <c r="N69" s="14"/>
      <c r="O69" s="14"/>
    </row>
    <row r="70" spans="1:33" ht="15" customHeight="1" x14ac:dyDescent="0.2">
      <c r="A70" s="147" t="s">
        <v>210</v>
      </c>
      <c r="B70" s="148" t="s">
        <v>232</v>
      </c>
      <c r="C70" s="149">
        <v>2015</v>
      </c>
      <c r="D70" s="216" t="s">
        <v>16</v>
      </c>
      <c r="E70" s="81" t="s">
        <v>179</v>
      </c>
      <c r="F70" s="81" t="s">
        <v>179</v>
      </c>
      <c r="G70" s="150">
        <v>5899</v>
      </c>
      <c r="H70" s="155">
        <f t="shared" si="4"/>
        <v>0</v>
      </c>
      <c r="I70" s="155">
        <f t="shared" si="5"/>
        <v>0</v>
      </c>
      <c r="J70" s="283"/>
      <c r="K70" s="284"/>
      <c r="L70" s="284"/>
      <c r="M70" s="285"/>
      <c r="N70" s="14"/>
      <c r="O70" s="14"/>
    </row>
    <row r="71" spans="1:33" ht="15" customHeight="1" x14ac:dyDescent="0.2">
      <c r="A71" s="147" t="s">
        <v>211</v>
      </c>
      <c r="B71" s="148" t="s">
        <v>234</v>
      </c>
      <c r="C71" s="149">
        <v>2015</v>
      </c>
      <c r="D71" s="217" t="s">
        <v>16</v>
      </c>
      <c r="E71" s="81" t="s">
        <v>179</v>
      </c>
      <c r="F71" s="81" t="s">
        <v>179</v>
      </c>
      <c r="G71" s="150">
        <v>5908</v>
      </c>
      <c r="H71" s="155">
        <f t="shared" si="4"/>
        <v>0</v>
      </c>
      <c r="I71" s="155">
        <f t="shared" si="5"/>
        <v>0</v>
      </c>
      <c r="J71" s="283"/>
      <c r="K71" s="284"/>
      <c r="L71" s="284"/>
      <c r="M71" s="285"/>
      <c r="N71" s="14"/>
      <c r="O71" s="14"/>
    </row>
    <row r="72" spans="1:33" ht="15" customHeight="1" x14ac:dyDescent="0.2">
      <c r="A72" s="147" t="s">
        <v>212</v>
      </c>
      <c r="B72" s="148" t="s">
        <v>236</v>
      </c>
      <c r="C72" s="149">
        <v>2015</v>
      </c>
      <c r="D72" s="218" t="s">
        <v>16</v>
      </c>
      <c r="E72" s="81" t="s">
        <v>179</v>
      </c>
      <c r="F72" s="81" t="s">
        <v>179</v>
      </c>
      <c r="G72" s="150">
        <v>5876</v>
      </c>
      <c r="H72" s="155">
        <f t="shared" si="4"/>
        <v>0</v>
      </c>
      <c r="I72" s="155">
        <f t="shared" si="5"/>
        <v>0</v>
      </c>
      <c r="J72" s="283"/>
      <c r="K72" s="284"/>
      <c r="L72" s="284"/>
      <c r="M72" s="285"/>
      <c r="N72" s="14"/>
      <c r="O72" s="14"/>
    </row>
    <row r="73" spans="1:33" ht="15" customHeight="1" x14ac:dyDescent="0.2">
      <c r="A73" s="147" t="s">
        <v>213</v>
      </c>
      <c r="B73" s="148" t="s">
        <v>238</v>
      </c>
      <c r="C73" s="149">
        <v>2015</v>
      </c>
      <c r="D73" s="218" t="s">
        <v>16</v>
      </c>
      <c r="E73" s="81" t="s">
        <v>179</v>
      </c>
      <c r="F73" s="81" t="s">
        <v>179</v>
      </c>
      <c r="G73" s="150">
        <v>5799</v>
      </c>
      <c r="H73" s="155">
        <f t="shared" si="4"/>
        <v>0</v>
      </c>
      <c r="I73" s="155">
        <f t="shared" si="5"/>
        <v>0</v>
      </c>
      <c r="J73" s="283"/>
      <c r="K73" s="284"/>
      <c r="L73" s="284"/>
      <c r="M73" s="285"/>
      <c r="N73" s="14"/>
      <c r="O73" s="14"/>
    </row>
    <row r="74" spans="1:33" ht="15" customHeight="1" x14ac:dyDescent="0.2">
      <c r="A74" s="147" t="s">
        <v>214</v>
      </c>
      <c r="B74" s="148" t="s">
        <v>239</v>
      </c>
      <c r="C74" s="149">
        <v>2015</v>
      </c>
      <c r="D74" s="218" t="s">
        <v>16</v>
      </c>
      <c r="E74" s="81" t="s">
        <v>179</v>
      </c>
      <c r="F74" s="81" t="s">
        <v>179</v>
      </c>
      <c r="G74" s="150">
        <v>5877</v>
      </c>
      <c r="H74" s="155">
        <f t="shared" si="4"/>
        <v>0</v>
      </c>
      <c r="I74" s="155">
        <f t="shared" si="5"/>
        <v>0</v>
      </c>
      <c r="J74" s="283"/>
      <c r="K74" s="284"/>
      <c r="L74" s="284"/>
      <c r="M74" s="285"/>
      <c r="N74" s="14"/>
      <c r="O74" s="14"/>
    </row>
    <row r="75" spans="1:33" ht="15" customHeight="1" x14ac:dyDescent="0.2">
      <c r="A75" s="147" t="s">
        <v>215</v>
      </c>
      <c r="B75" s="148" t="s">
        <v>240</v>
      </c>
      <c r="C75" s="149">
        <v>2015</v>
      </c>
      <c r="D75" s="218" t="s">
        <v>16</v>
      </c>
      <c r="E75" s="81" t="s">
        <v>179</v>
      </c>
      <c r="F75" s="81" t="s">
        <v>179</v>
      </c>
      <c r="G75" s="150">
        <v>5953</v>
      </c>
      <c r="H75" s="155">
        <f t="shared" si="4"/>
        <v>0</v>
      </c>
      <c r="I75" s="155">
        <f t="shared" si="5"/>
        <v>0</v>
      </c>
      <c r="J75" s="283"/>
      <c r="K75" s="284"/>
      <c r="L75" s="284"/>
      <c r="M75" s="285"/>
      <c r="N75" s="14"/>
      <c r="O75" s="14"/>
    </row>
    <row r="76" spans="1:33" ht="15" customHeight="1" x14ac:dyDescent="0.2">
      <c r="A76" s="147" t="s">
        <v>216</v>
      </c>
      <c r="B76" s="148" t="s">
        <v>241</v>
      </c>
      <c r="C76" s="149">
        <v>2015</v>
      </c>
      <c r="D76" s="218" t="s">
        <v>16</v>
      </c>
      <c r="E76" s="81" t="s">
        <v>179</v>
      </c>
      <c r="F76" s="81" t="s">
        <v>179</v>
      </c>
      <c r="G76" s="150">
        <v>5887</v>
      </c>
      <c r="H76" s="155">
        <f t="shared" si="4"/>
        <v>0</v>
      </c>
      <c r="I76" s="155">
        <f t="shared" si="5"/>
        <v>0</v>
      </c>
      <c r="J76" s="283"/>
      <c r="K76" s="284"/>
      <c r="L76" s="284"/>
      <c r="M76" s="285"/>
      <c r="N76" s="14"/>
      <c r="O76" s="14"/>
    </row>
    <row r="77" spans="1:33" ht="15" customHeight="1" x14ac:dyDescent="0.2">
      <c r="A77" s="147" t="s">
        <v>217</v>
      </c>
      <c r="B77" s="148" t="s">
        <v>231</v>
      </c>
      <c r="C77" s="149">
        <v>2015</v>
      </c>
      <c r="D77" s="218" t="s">
        <v>16</v>
      </c>
      <c r="E77" s="81" t="s">
        <v>179</v>
      </c>
      <c r="F77" s="81" t="s">
        <v>179</v>
      </c>
      <c r="G77" s="150">
        <v>11182</v>
      </c>
      <c r="H77" s="155">
        <f t="shared" si="4"/>
        <v>0</v>
      </c>
      <c r="I77" s="155">
        <f t="shared" si="5"/>
        <v>0</v>
      </c>
      <c r="J77" s="283"/>
      <c r="K77" s="284"/>
      <c r="L77" s="284"/>
      <c r="M77" s="285"/>
      <c r="N77" s="14"/>
      <c r="O77" s="14"/>
    </row>
    <row r="78" spans="1:33" ht="15" customHeight="1" x14ac:dyDescent="0.2">
      <c r="A78" s="147" t="s">
        <v>218</v>
      </c>
      <c r="B78" s="148" t="s">
        <v>233</v>
      </c>
      <c r="C78" s="149">
        <v>2015</v>
      </c>
      <c r="D78" s="218" t="s">
        <v>16</v>
      </c>
      <c r="E78" s="81" t="s">
        <v>179</v>
      </c>
      <c r="F78" s="81" t="s">
        <v>179</v>
      </c>
      <c r="G78" s="150">
        <v>9643</v>
      </c>
      <c r="H78" s="155">
        <f t="shared" si="4"/>
        <v>0</v>
      </c>
      <c r="I78" s="155">
        <f t="shared" si="5"/>
        <v>0</v>
      </c>
      <c r="J78" s="283"/>
      <c r="K78" s="284"/>
      <c r="L78" s="284"/>
      <c r="M78" s="285"/>
      <c r="N78" s="14"/>
      <c r="O78" s="14"/>
    </row>
    <row r="79" spans="1:33" ht="15" customHeight="1" x14ac:dyDescent="0.2">
      <c r="A79" s="147" t="s">
        <v>219</v>
      </c>
      <c r="B79" s="148" t="s">
        <v>235</v>
      </c>
      <c r="C79" s="149">
        <v>2015</v>
      </c>
      <c r="D79" s="218" t="s">
        <v>16</v>
      </c>
      <c r="E79" s="81" t="s">
        <v>179</v>
      </c>
      <c r="F79" s="81" t="s">
        <v>179</v>
      </c>
      <c r="G79" s="150">
        <v>11177</v>
      </c>
      <c r="H79" s="155">
        <f t="shared" si="4"/>
        <v>0</v>
      </c>
      <c r="I79" s="155">
        <f t="shared" si="5"/>
        <v>0</v>
      </c>
      <c r="J79" s="283"/>
      <c r="K79" s="284"/>
      <c r="L79" s="284"/>
      <c r="M79" s="285"/>
      <c r="N79" s="14"/>
      <c r="O79" s="14"/>
    </row>
    <row r="80" spans="1:33" ht="15" customHeight="1" x14ac:dyDescent="0.2">
      <c r="A80" s="147" t="s">
        <v>220</v>
      </c>
      <c r="B80" s="148" t="s">
        <v>237</v>
      </c>
      <c r="C80" s="149">
        <v>2015</v>
      </c>
      <c r="D80" s="218" t="s">
        <v>16</v>
      </c>
      <c r="E80" s="81" t="s">
        <v>179</v>
      </c>
      <c r="F80" s="81" t="s">
        <v>179</v>
      </c>
      <c r="G80" s="150">
        <v>11080</v>
      </c>
      <c r="H80" s="155">
        <f t="shared" si="4"/>
        <v>0</v>
      </c>
      <c r="I80" s="155">
        <f t="shared" si="5"/>
        <v>0</v>
      </c>
      <c r="J80" s="283"/>
      <c r="K80" s="284"/>
      <c r="L80" s="284"/>
      <c r="M80" s="285"/>
      <c r="N80" s="14"/>
      <c r="O80" s="14"/>
    </row>
    <row r="81" spans="1:15" ht="15" customHeight="1" x14ac:dyDescent="0.2">
      <c r="A81" s="147" t="s">
        <v>221</v>
      </c>
      <c r="B81" s="148" t="s">
        <v>242</v>
      </c>
      <c r="C81" s="149">
        <v>2015</v>
      </c>
      <c r="D81" s="218" t="s">
        <v>15</v>
      </c>
      <c r="E81" s="81" t="s">
        <v>179</v>
      </c>
      <c r="F81" s="81" t="s">
        <v>179</v>
      </c>
      <c r="G81" s="150">
        <v>3000</v>
      </c>
      <c r="H81" s="155">
        <f t="shared" si="4"/>
        <v>0</v>
      </c>
      <c r="I81" s="155">
        <f t="shared" si="5"/>
        <v>0</v>
      </c>
      <c r="J81" s="283"/>
      <c r="K81" s="284"/>
      <c r="L81" s="284"/>
      <c r="M81" s="285"/>
      <c r="N81" s="14"/>
      <c r="O81" s="14"/>
    </row>
    <row r="82" spans="1:15" ht="15" customHeight="1" x14ac:dyDescent="0.2">
      <c r="A82" s="147" t="s">
        <v>222</v>
      </c>
      <c r="B82" s="148" t="s">
        <v>243</v>
      </c>
      <c r="C82" s="149">
        <v>2015</v>
      </c>
      <c r="D82" s="218" t="s">
        <v>15</v>
      </c>
      <c r="E82" s="81" t="s">
        <v>179</v>
      </c>
      <c r="F82" s="81" t="s">
        <v>179</v>
      </c>
      <c r="G82" s="150">
        <v>2612</v>
      </c>
      <c r="H82" s="155">
        <f t="shared" si="4"/>
        <v>0</v>
      </c>
      <c r="I82" s="155">
        <f t="shared" si="5"/>
        <v>0</v>
      </c>
      <c r="J82" s="283"/>
      <c r="K82" s="284"/>
      <c r="L82" s="284"/>
      <c r="M82" s="285"/>
      <c r="N82" s="14"/>
      <c r="O82" s="14"/>
    </row>
    <row r="83" spans="1:15" ht="15" customHeight="1" x14ac:dyDescent="0.2">
      <c r="A83" s="147" t="s">
        <v>224</v>
      </c>
      <c r="B83" s="148" t="s">
        <v>245</v>
      </c>
      <c r="C83" s="149">
        <v>2015</v>
      </c>
      <c r="D83" s="218" t="s">
        <v>15</v>
      </c>
      <c r="E83" s="81" t="s">
        <v>179</v>
      </c>
      <c r="F83" s="81" t="s">
        <v>179</v>
      </c>
      <c r="G83" s="150">
        <v>7109</v>
      </c>
      <c r="H83" s="155">
        <f t="shared" si="4"/>
        <v>0</v>
      </c>
      <c r="I83" s="155">
        <f t="shared" si="5"/>
        <v>0</v>
      </c>
      <c r="J83" s="283"/>
      <c r="K83" s="284"/>
      <c r="L83" s="284"/>
      <c r="M83" s="285"/>
      <c r="N83" s="14"/>
      <c r="O83" s="14"/>
    </row>
    <row r="84" spans="1:15" ht="15" customHeight="1" x14ac:dyDescent="0.2">
      <c r="A84" s="147" t="s">
        <v>225</v>
      </c>
      <c r="B84" s="148" t="s">
        <v>246</v>
      </c>
      <c r="C84" s="149">
        <v>2015</v>
      </c>
      <c r="D84" s="218" t="s">
        <v>15</v>
      </c>
      <c r="E84" s="81" t="s">
        <v>179</v>
      </c>
      <c r="F84" s="81" t="s">
        <v>179</v>
      </c>
      <c r="G84" s="150">
        <v>3482</v>
      </c>
      <c r="H84" s="155">
        <f t="shared" si="4"/>
        <v>0</v>
      </c>
      <c r="I84" s="155">
        <f t="shared" si="5"/>
        <v>0</v>
      </c>
      <c r="J84" s="283"/>
      <c r="K84" s="284"/>
      <c r="L84" s="284"/>
      <c r="M84" s="285"/>
      <c r="N84" s="14"/>
      <c r="O84" s="14"/>
    </row>
    <row r="85" spans="1:15" ht="15" customHeight="1" x14ac:dyDescent="0.2">
      <c r="A85" s="147" t="s">
        <v>226</v>
      </c>
      <c r="B85" s="148" t="s">
        <v>247</v>
      </c>
      <c r="C85" s="149">
        <v>2015</v>
      </c>
      <c r="D85" s="218" t="s">
        <v>174</v>
      </c>
      <c r="E85" s="81" t="s">
        <v>179</v>
      </c>
      <c r="F85" s="81" t="s">
        <v>179</v>
      </c>
      <c r="G85" s="150">
        <v>75357</v>
      </c>
      <c r="H85" s="155">
        <f t="shared" si="4"/>
        <v>0</v>
      </c>
      <c r="I85" s="155">
        <f t="shared" si="5"/>
        <v>0</v>
      </c>
      <c r="J85" s="283"/>
      <c r="K85" s="284"/>
      <c r="L85" s="284"/>
      <c r="M85" s="285"/>
      <c r="N85" s="14"/>
      <c r="O85" s="14"/>
    </row>
    <row r="86" spans="1:15" ht="15" customHeight="1" x14ac:dyDescent="0.2">
      <c r="A86" s="147" t="s">
        <v>223</v>
      </c>
      <c r="B86" s="148" t="s">
        <v>244</v>
      </c>
      <c r="C86" s="149">
        <v>2015</v>
      </c>
      <c r="D86" s="218" t="s">
        <v>15</v>
      </c>
      <c r="E86" s="81" t="s">
        <v>179</v>
      </c>
      <c r="F86" s="81" t="s">
        <v>179</v>
      </c>
      <c r="G86" s="150">
        <v>9918</v>
      </c>
      <c r="H86" s="155">
        <f t="shared" si="4"/>
        <v>0</v>
      </c>
      <c r="I86" s="155">
        <f t="shared" si="5"/>
        <v>0</v>
      </c>
      <c r="J86" s="283"/>
      <c r="K86" s="284"/>
      <c r="L86" s="284"/>
      <c r="M86" s="285"/>
      <c r="N86" s="14"/>
      <c r="O86" s="14"/>
    </row>
    <row r="87" spans="1:15" ht="15" customHeight="1" x14ac:dyDescent="0.2">
      <c r="A87" s="147" t="s">
        <v>228</v>
      </c>
      <c r="B87" s="148" t="s">
        <v>248</v>
      </c>
      <c r="C87" s="149">
        <v>2015</v>
      </c>
      <c r="D87" s="218" t="s">
        <v>15</v>
      </c>
      <c r="E87" s="81" t="s">
        <v>179</v>
      </c>
      <c r="F87" s="81" t="s">
        <v>179</v>
      </c>
      <c r="G87" s="150">
        <v>49976</v>
      </c>
      <c r="H87" s="155">
        <f t="shared" si="4"/>
        <v>0</v>
      </c>
      <c r="I87" s="155">
        <f t="shared" si="5"/>
        <v>0</v>
      </c>
      <c r="J87" s="283"/>
      <c r="K87" s="284"/>
      <c r="L87" s="284"/>
      <c r="M87" s="285"/>
      <c r="N87" s="14"/>
      <c r="O87" s="14"/>
    </row>
    <row r="88" spans="1:15" ht="15" customHeight="1" x14ac:dyDescent="0.2">
      <c r="A88" s="147" t="s">
        <v>229</v>
      </c>
      <c r="B88" s="148" t="s">
        <v>249</v>
      </c>
      <c r="C88" s="149">
        <v>2015</v>
      </c>
      <c r="D88" s="218" t="s">
        <v>176</v>
      </c>
      <c r="E88" s="81" t="s">
        <v>179</v>
      </c>
      <c r="F88" s="81" t="s">
        <v>179</v>
      </c>
      <c r="G88" s="150">
        <v>25407</v>
      </c>
      <c r="H88" s="155">
        <f t="shared" si="4"/>
        <v>0</v>
      </c>
      <c r="I88" s="155">
        <f t="shared" si="5"/>
        <v>0</v>
      </c>
      <c r="J88" s="283"/>
      <c r="K88" s="284"/>
      <c r="L88" s="284"/>
      <c r="M88" s="285"/>
      <c r="N88" s="14"/>
      <c r="O88" s="14"/>
    </row>
    <row r="89" spans="1:15" ht="15" customHeight="1" x14ac:dyDescent="0.2">
      <c r="A89" s="147" t="s">
        <v>230</v>
      </c>
      <c r="B89" s="148" t="s">
        <v>250</v>
      </c>
      <c r="C89" s="149">
        <v>2015</v>
      </c>
      <c r="D89" s="218" t="s">
        <v>15</v>
      </c>
      <c r="E89" s="81" t="s">
        <v>179</v>
      </c>
      <c r="F89" s="81" t="s">
        <v>179</v>
      </c>
      <c r="G89" s="150">
        <v>27457</v>
      </c>
      <c r="H89" s="155">
        <f t="shared" si="4"/>
        <v>0</v>
      </c>
      <c r="I89" s="155">
        <f t="shared" si="5"/>
        <v>0</v>
      </c>
      <c r="J89" s="283"/>
      <c r="K89" s="284"/>
      <c r="L89" s="284"/>
      <c r="M89" s="285"/>
      <c r="N89" s="14"/>
      <c r="O89" s="14"/>
    </row>
    <row r="90" spans="1:15" ht="15" customHeight="1" x14ac:dyDescent="0.2">
      <c r="A90" s="147" t="s">
        <v>227</v>
      </c>
      <c r="B90" s="148" t="s">
        <v>206</v>
      </c>
      <c r="C90" s="149">
        <v>2016</v>
      </c>
      <c r="D90" s="218" t="s">
        <v>15</v>
      </c>
      <c r="E90" s="81" t="s">
        <v>179</v>
      </c>
      <c r="F90" s="81" t="s">
        <v>179</v>
      </c>
      <c r="G90" s="150">
        <v>176400</v>
      </c>
      <c r="H90" s="155">
        <f t="shared" si="4"/>
        <v>0</v>
      </c>
      <c r="I90" s="155">
        <f t="shared" si="5"/>
        <v>0</v>
      </c>
      <c r="J90" s="283" t="s">
        <v>322</v>
      </c>
      <c r="K90" s="284"/>
      <c r="L90" s="284"/>
      <c r="M90" s="285"/>
      <c r="N90" s="14"/>
      <c r="O90" s="14"/>
    </row>
    <row r="91" spans="1:15" ht="15" customHeight="1" x14ac:dyDescent="0.2">
      <c r="A91" s="151"/>
      <c r="B91" s="152"/>
      <c r="C91" s="153"/>
      <c r="D91" s="219"/>
      <c r="E91" s="81" t="s">
        <v>179</v>
      </c>
      <c r="F91" s="81" t="s">
        <v>179</v>
      </c>
      <c r="G91" s="154"/>
      <c r="H91" s="52">
        <f>IF(E91="Yes",0.2*G91,0)</f>
        <v>0</v>
      </c>
      <c r="I91" s="155">
        <f t="shared" si="5"/>
        <v>0</v>
      </c>
      <c r="J91" s="283"/>
      <c r="K91" s="284"/>
      <c r="L91" s="284"/>
      <c r="M91" s="285"/>
      <c r="N91" s="14"/>
      <c r="O91" s="14"/>
    </row>
    <row r="92" spans="1:15" ht="15" customHeight="1" x14ac:dyDescent="0.2">
      <c r="N92" s="14"/>
      <c r="O92" s="14"/>
    </row>
    <row r="93" spans="1:15" ht="15" customHeight="1" x14ac:dyDescent="0.2">
      <c r="A93" s="10"/>
      <c r="B93" s="10"/>
      <c r="C93" s="10"/>
      <c r="D93" s="9" t="s">
        <v>4</v>
      </c>
      <c r="E93" s="272" t="str">
        <f>B5</f>
        <v>Seattle City Light</v>
      </c>
      <c r="F93" s="273"/>
      <c r="G93" s="274"/>
      <c r="N93" s="14"/>
      <c r="O93" s="14"/>
    </row>
    <row r="94" spans="1:15" ht="15" customHeight="1" x14ac:dyDescent="0.2">
      <c r="D94" s="9" t="s">
        <v>13</v>
      </c>
      <c r="E94" s="275">
        <v>2016</v>
      </c>
      <c r="F94" s="276"/>
      <c r="G94" s="277"/>
    </row>
    <row r="95" spans="1:15" x14ac:dyDescent="0.2">
      <c r="A95" s="2" t="s">
        <v>39</v>
      </c>
      <c r="B95" s="48"/>
      <c r="C95" s="48"/>
      <c r="D95" s="48"/>
      <c r="E95" s="48"/>
      <c r="F95" s="48"/>
      <c r="G95" s="48"/>
      <c r="H95" s="48"/>
      <c r="I95" s="48"/>
      <c r="J95" s="48"/>
      <c r="K95" s="48"/>
      <c r="L95" s="48"/>
    </row>
    <row r="96" spans="1:15" x14ac:dyDescent="0.2">
      <c r="A96" s="48"/>
      <c r="B96" s="48"/>
      <c r="C96" s="48"/>
      <c r="D96" s="48"/>
      <c r="E96" s="48"/>
      <c r="F96" s="48"/>
      <c r="G96" s="48"/>
      <c r="H96" s="48"/>
      <c r="I96" s="48"/>
      <c r="J96" s="48"/>
      <c r="K96" s="48"/>
      <c r="L96" s="48"/>
    </row>
    <row r="97" spans="1:12" x14ac:dyDescent="0.2">
      <c r="A97" s="48"/>
      <c r="B97" s="48"/>
      <c r="C97" s="48"/>
      <c r="D97" s="48"/>
      <c r="E97" s="48"/>
      <c r="F97" s="48"/>
      <c r="G97" s="48"/>
      <c r="H97" s="48"/>
      <c r="I97" s="48"/>
      <c r="J97" s="48"/>
      <c r="K97" s="48"/>
      <c r="L97" s="48"/>
    </row>
    <row r="98" spans="1:12" x14ac:dyDescent="0.2">
      <c r="A98" s="48"/>
      <c r="B98" s="48"/>
      <c r="C98" s="48"/>
      <c r="D98" s="48"/>
      <c r="E98" s="48"/>
      <c r="F98" s="48"/>
      <c r="G98" s="48"/>
      <c r="H98" s="48"/>
      <c r="I98" s="48"/>
      <c r="J98" s="48"/>
      <c r="K98" s="48"/>
      <c r="L98" s="48"/>
    </row>
    <row r="99" spans="1:12" x14ac:dyDescent="0.2">
      <c r="A99" s="48"/>
      <c r="B99" s="48"/>
      <c r="C99" s="48"/>
      <c r="D99" s="48"/>
      <c r="E99" s="48"/>
      <c r="F99" s="48"/>
      <c r="G99" s="48"/>
      <c r="H99" s="48"/>
      <c r="I99" s="48"/>
      <c r="J99" s="48"/>
      <c r="K99" s="48"/>
      <c r="L99" s="48"/>
    </row>
    <row r="100" spans="1:12" x14ac:dyDescent="0.2">
      <c r="A100" s="48"/>
      <c r="B100" s="48"/>
      <c r="C100" s="48"/>
      <c r="D100" s="48"/>
      <c r="E100" s="48"/>
      <c r="F100" s="48"/>
      <c r="G100" s="48"/>
      <c r="H100" s="48"/>
      <c r="I100" s="48"/>
      <c r="J100" s="48"/>
      <c r="K100" s="48"/>
      <c r="L100" s="48"/>
    </row>
    <row r="101" spans="1:12" x14ac:dyDescent="0.2">
      <c r="A101" s="48"/>
      <c r="B101" s="48"/>
      <c r="C101" s="48"/>
      <c r="D101" s="48"/>
      <c r="E101" s="48"/>
      <c r="F101" s="48"/>
      <c r="G101" s="48"/>
      <c r="H101" s="48"/>
      <c r="I101" s="48"/>
      <c r="J101" s="48"/>
      <c r="K101" s="48"/>
      <c r="L101" s="48"/>
    </row>
    <row r="102" spans="1:12" x14ac:dyDescent="0.2">
      <c r="A102" s="48"/>
      <c r="B102" s="48"/>
      <c r="C102" s="48"/>
      <c r="D102" s="48"/>
      <c r="E102" s="48"/>
      <c r="F102" s="48"/>
      <c r="G102" s="48"/>
      <c r="H102" s="48"/>
      <c r="I102" s="48"/>
      <c r="J102" s="48"/>
      <c r="K102" s="48"/>
      <c r="L102" s="48"/>
    </row>
    <row r="103" spans="1:12" x14ac:dyDescent="0.2">
      <c r="A103" s="48"/>
      <c r="B103" s="48"/>
      <c r="C103" s="48"/>
      <c r="D103" s="48"/>
      <c r="E103" s="48"/>
      <c r="F103" s="48"/>
      <c r="G103" s="48"/>
      <c r="H103" s="48"/>
      <c r="I103" s="48"/>
      <c r="J103" s="48"/>
      <c r="K103" s="48"/>
      <c r="L103" s="48"/>
    </row>
    <row r="104" spans="1:12" x14ac:dyDescent="0.2">
      <c r="A104" s="48"/>
      <c r="B104" s="48"/>
      <c r="C104" s="48"/>
      <c r="D104" s="48"/>
      <c r="E104" s="48"/>
      <c r="F104" s="48"/>
      <c r="G104" s="48"/>
      <c r="H104" s="48"/>
      <c r="I104" s="48"/>
      <c r="J104" s="48"/>
      <c r="K104" s="48"/>
      <c r="L104" s="48"/>
    </row>
    <row r="105" spans="1:12" x14ac:dyDescent="0.2">
      <c r="A105" s="48"/>
      <c r="B105" s="48"/>
      <c r="C105" s="48"/>
      <c r="D105" s="48"/>
      <c r="E105" s="48"/>
      <c r="F105" s="48"/>
      <c r="G105" s="48"/>
      <c r="H105" s="48"/>
      <c r="I105" s="48"/>
      <c r="J105" s="48"/>
      <c r="K105" s="48"/>
      <c r="L105" s="48"/>
    </row>
    <row r="106" spans="1:12" x14ac:dyDescent="0.2">
      <c r="A106" s="48"/>
      <c r="B106" s="48"/>
      <c r="C106" s="48"/>
      <c r="D106" s="48"/>
      <c r="E106" s="48"/>
      <c r="F106" s="48"/>
      <c r="G106" s="48"/>
      <c r="H106" s="48"/>
      <c r="I106" s="48"/>
      <c r="J106" s="48"/>
      <c r="K106" s="48"/>
      <c r="L106" s="48"/>
    </row>
    <row r="107" spans="1:12" x14ac:dyDescent="0.2">
      <c r="A107" s="48"/>
      <c r="B107" s="48"/>
      <c r="C107" s="48"/>
      <c r="D107" s="48"/>
      <c r="E107" s="48"/>
      <c r="F107" s="48"/>
      <c r="G107" s="48"/>
      <c r="H107" s="48"/>
      <c r="I107" s="48"/>
      <c r="J107" s="48"/>
      <c r="K107" s="48"/>
      <c r="L107" s="48"/>
    </row>
    <row r="108" spans="1:12" x14ac:dyDescent="0.2">
      <c r="A108" s="48"/>
      <c r="B108" s="48"/>
      <c r="C108" s="48"/>
      <c r="D108" s="48"/>
      <c r="E108" s="48"/>
      <c r="F108" s="48"/>
      <c r="G108" s="48"/>
      <c r="H108" s="48"/>
      <c r="I108" s="48"/>
      <c r="J108" s="48"/>
      <c r="K108" s="48"/>
      <c r="L108" s="48"/>
    </row>
    <row r="109" spans="1:12" x14ac:dyDescent="0.2">
      <c r="A109" s="48"/>
      <c r="B109" s="48"/>
      <c r="C109" s="48"/>
      <c r="D109" s="48"/>
      <c r="E109" s="48"/>
      <c r="F109" s="48"/>
      <c r="G109" s="48"/>
      <c r="H109" s="48"/>
      <c r="I109" s="48"/>
      <c r="J109" s="48"/>
      <c r="K109" s="48"/>
      <c r="L109" s="48"/>
    </row>
    <row r="110" spans="1:12" x14ac:dyDescent="0.2">
      <c r="A110" s="48"/>
      <c r="B110" s="48"/>
      <c r="C110" s="48"/>
      <c r="D110" s="48"/>
      <c r="E110" s="48"/>
      <c r="F110" s="48"/>
      <c r="G110" s="48"/>
      <c r="H110" s="48"/>
      <c r="I110" s="48"/>
      <c r="J110" s="48"/>
      <c r="K110" s="48"/>
      <c r="L110" s="48"/>
    </row>
    <row r="111" spans="1:12" x14ac:dyDescent="0.2">
      <c r="A111" s="48"/>
      <c r="B111" s="48"/>
      <c r="C111" s="48"/>
      <c r="D111" s="48"/>
      <c r="E111" s="48"/>
      <c r="F111" s="48"/>
      <c r="G111" s="48"/>
      <c r="H111" s="48"/>
      <c r="I111" s="48"/>
      <c r="J111" s="48"/>
      <c r="K111" s="48"/>
      <c r="L111" s="48"/>
    </row>
    <row r="112" spans="1:12" x14ac:dyDescent="0.2">
      <c r="A112" s="48"/>
      <c r="B112" s="48"/>
      <c r="C112" s="48"/>
      <c r="D112" s="48"/>
      <c r="E112" s="48"/>
      <c r="F112" s="48"/>
      <c r="G112" s="48"/>
      <c r="H112" s="48"/>
      <c r="I112" s="48"/>
      <c r="J112" s="48"/>
      <c r="K112" s="48"/>
      <c r="L112" s="48"/>
    </row>
    <row r="113" spans="1:12" x14ac:dyDescent="0.2">
      <c r="A113" s="48"/>
      <c r="B113" s="48"/>
      <c r="C113" s="48"/>
      <c r="D113" s="48"/>
      <c r="E113" s="48"/>
      <c r="F113" s="48"/>
      <c r="G113" s="48"/>
      <c r="H113" s="48"/>
      <c r="I113" s="48"/>
      <c r="J113" s="48"/>
      <c r="K113" s="48"/>
      <c r="L113" s="48"/>
    </row>
    <row r="114" spans="1:12" x14ac:dyDescent="0.2">
      <c r="A114" s="48"/>
      <c r="B114" s="48"/>
      <c r="C114" s="48"/>
      <c r="D114" s="48"/>
      <c r="E114" s="48"/>
      <c r="F114" s="48"/>
      <c r="G114" s="48"/>
      <c r="H114" s="48"/>
      <c r="I114" s="48"/>
      <c r="J114" s="48"/>
      <c r="K114" s="48"/>
      <c r="L114" s="48"/>
    </row>
    <row r="115" spans="1:12" x14ac:dyDescent="0.2">
      <c r="A115" s="48"/>
      <c r="B115" s="48"/>
      <c r="C115" s="48"/>
      <c r="D115" s="48"/>
      <c r="E115" s="48"/>
      <c r="F115" s="48"/>
      <c r="G115" s="48"/>
      <c r="H115" s="48"/>
      <c r="I115" s="48"/>
      <c r="J115" s="48"/>
      <c r="K115" s="48"/>
      <c r="L115" s="48"/>
    </row>
    <row r="116" spans="1:12" x14ac:dyDescent="0.2">
      <c r="A116" s="48"/>
      <c r="B116" s="48"/>
      <c r="C116" s="48"/>
      <c r="D116" s="48"/>
      <c r="E116" s="48"/>
      <c r="F116" s="48"/>
      <c r="G116" s="48"/>
      <c r="H116" s="48"/>
      <c r="I116" s="48"/>
      <c r="J116" s="48"/>
      <c r="K116" s="48"/>
      <c r="L116" s="48"/>
    </row>
  </sheetData>
  <mergeCells count="70">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 ref="J89:M89"/>
    <mergeCell ref="J90:M90"/>
    <mergeCell ref="J81:M81"/>
    <mergeCell ref="J82:M82"/>
    <mergeCell ref="J83:M83"/>
    <mergeCell ref="J84:M84"/>
    <mergeCell ref="J85:M85"/>
    <mergeCell ref="J77:M77"/>
    <mergeCell ref="J78:M78"/>
    <mergeCell ref="J79:M79"/>
    <mergeCell ref="J80:M80"/>
    <mergeCell ref="J88:M88"/>
    <mergeCell ref="J72:M72"/>
    <mergeCell ref="J73:M73"/>
    <mergeCell ref="J74:M74"/>
    <mergeCell ref="J75:M75"/>
    <mergeCell ref="J76:M76"/>
    <mergeCell ref="H4:M4"/>
    <mergeCell ref="F12:M12"/>
    <mergeCell ref="J68:M68"/>
    <mergeCell ref="J69:M69"/>
    <mergeCell ref="J70:M70"/>
    <mergeCell ref="G60:K60"/>
    <mergeCell ref="G55:K55"/>
    <mergeCell ref="G56:K56"/>
    <mergeCell ref="G57:K57"/>
    <mergeCell ref="G58:K58"/>
    <mergeCell ref="G59:K59"/>
    <mergeCell ref="F65:F66"/>
    <mergeCell ref="J65:M66"/>
    <mergeCell ref="J67:M67"/>
    <mergeCell ref="H16:L16"/>
    <mergeCell ref="E62:G62"/>
    <mergeCell ref="B5:D5"/>
    <mergeCell ref="B6:D6"/>
    <mergeCell ref="B7:D7"/>
    <mergeCell ref="B8:D8"/>
    <mergeCell ref="B9:D9"/>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s>
  <dataValidations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hyperlinks>
    <hyperlink ref="B9" r:id="rId1"/>
  </hyperlinks>
  <pageMargins left="0.7" right="0.7" top="0.75" bottom="0.75" header="0.3" footer="0.3"/>
  <pageSetup scale="71" fitToHeight="0" orientation="landscape" r:id="rId2"/>
  <rowBreaks count="3" manualBreakCount="3">
    <brk id="34" max="13" man="1"/>
    <brk id="61" max="13" man="1"/>
    <brk id="91" max="13" man="1"/>
  </rowBreaks>
  <drawing r:id="rId3"/>
  <legacyDrawing r:id="rId4"/>
  <mc:AlternateContent xmlns:mc="http://schemas.openxmlformats.org/markup-compatibility/2006">
    <mc:Choice Requires="x14">
      <controls>
        <mc:AlternateContent xmlns:mc="http://schemas.openxmlformats.org/markup-compatibility/2006">
          <mc:Choice Requires="x14">
            <control shapeId="5453" r:id="rId5"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6" name="Check Box 334">
              <controlPr defaultSize="0" autoFill="0" autoLine="0" autoPict="0">
                <anchor moveWithCells="1" sizeWithCells="1">
                  <from>
                    <xdr:col>0</xdr:col>
                    <xdr:colOff>733425</xdr:colOff>
                    <xdr:row>12</xdr:row>
                    <xdr:rowOff>171450</xdr:rowOff>
                  </from>
                  <to>
                    <xdr:col>3</xdr:col>
                    <xdr:colOff>266700</xdr:colOff>
                    <xdr:row>14</xdr:row>
                    <xdr:rowOff>95250</xdr:rowOff>
                  </to>
                </anchor>
              </controlPr>
            </control>
          </mc:Choice>
        </mc:AlternateContent>
        <mc:AlternateContent xmlns:mc="http://schemas.openxmlformats.org/markup-compatibility/2006">
          <mc:Choice Requires="x14">
            <control shapeId="5455" r:id="rId7" name="Check Box 335">
              <controlPr defaultSize="0" autoFill="0" autoLine="0" autoPict="0">
                <anchor moveWithCells="1" sizeWithCells="1">
                  <from>
                    <xdr:col>0</xdr:col>
                    <xdr:colOff>733425</xdr:colOff>
                    <xdr:row>11</xdr:row>
                    <xdr:rowOff>123825</xdr:rowOff>
                  </from>
                  <to>
                    <xdr:col>3</xdr:col>
                    <xdr:colOff>76200</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R179"/>
  <sheetViews>
    <sheetView showGridLines="0" zoomScaleNormal="100" zoomScaleSheetLayoutView="100" workbookViewId="0">
      <selection activeCell="N53" sqref="N53"/>
    </sheetView>
  </sheetViews>
  <sheetFormatPr defaultColWidth="9.140625" defaultRowHeight="12.75" x14ac:dyDescent="0.2"/>
  <cols>
    <col min="1" max="1" width="30.140625" style="77" customWidth="1"/>
    <col min="2" max="2" width="10.85546875" style="77" customWidth="1"/>
    <col min="3" max="3" width="12.28515625" style="77" customWidth="1"/>
    <col min="4" max="4" width="14" style="77" customWidth="1"/>
    <col min="5" max="5" width="14.140625" style="77" customWidth="1"/>
    <col min="6" max="6" width="12.7109375" style="77" customWidth="1"/>
    <col min="7" max="7" width="10.7109375" style="77" customWidth="1"/>
    <col min="8" max="8" width="11.7109375" style="77" customWidth="1"/>
    <col min="9" max="9" width="15.7109375" style="77" customWidth="1"/>
    <col min="10" max="10" width="12.42578125" style="77" customWidth="1"/>
    <col min="11" max="11" width="16.5703125" style="77" customWidth="1"/>
    <col min="12" max="12" width="10.5703125" style="77" customWidth="1"/>
    <col min="13" max="15" width="9.140625" style="77"/>
    <col min="16" max="16" width="10.7109375" style="77" bestFit="1" customWidth="1"/>
    <col min="17" max="17" width="12.28515625" style="77" customWidth="1"/>
    <col min="18" max="16384" width="9.140625" style="77"/>
  </cols>
  <sheetData>
    <row r="1" spans="1:14" ht="15" customHeight="1" x14ac:dyDescent="0.2">
      <c r="A1" s="310" t="s">
        <v>192</v>
      </c>
      <c r="B1" s="310"/>
      <c r="C1" s="310"/>
      <c r="D1" s="310"/>
      <c r="E1" s="310"/>
      <c r="F1" s="310"/>
      <c r="G1" s="310"/>
      <c r="H1" s="310"/>
      <c r="I1" s="310"/>
      <c r="J1" s="310"/>
      <c r="K1" s="310"/>
      <c r="L1" s="78"/>
      <c r="M1" s="78"/>
      <c r="N1" s="78"/>
    </row>
    <row r="2" spans="1:14" ht="15" customHeight="1" x14ac:dyDescent="0.2">
      <c r="A2" s="311" t="s">
        <v>193</v>
      </c>
      <c r="B2" s="311"/>
      <c r="C2" s="311"/>
      <c r="D2" s="311"/>
      <c r="E2" s="311"/>
      <c r="F2" s="311"/>
      <c r="G2" s="311"/>
      <c r="H2" s="311"/>
      <c r="I2" s="311"/>
      <c r="J2" s="311"/>
      <c r="K2" s="311"/>
      <c r="L2" s="78"/>
      <c r="M2" s="78"/>
      <c r="N2" s="78"/>
    </row>
    <row r="3" spans="1:14" s="78" customFormat="1" ht="19.5" x14ac:dyDescent="0.4">
      <c r="A3" s="157" t="s">
        <v>138</v>
      </c>
      <c r="B3" s="157"/>
      <c r="C3" s="157"/>
    </row>
    <row r="4" spans="1:14" ht="15" customHeight="1" x14ac:dyDescent="0.2">
      <c r="L4" s="78"/>
      <c r="M4" s="78"/>
      <c r="N4" s="78"/>
    </row>
    <row r="5" spans="1:14" ht="16.5" customHeight="1" x14ac:dyDescent="0.25">
      <c r="A5" s="158" t="s">
        <v>101</v>
      </c>
      <c r="B5" s="159"/>
      <c r="C5" s="159"/>
      <c r="D5" s="86" t="s">
        <v>4</v>
      </c>
      <c r="E5" s="312" t="str">
        <f>'Renewables Report'!$B$5</f>
        <v>Seattle City Light</v>
      </c>
      <c r="F5" s="313"/>
      <c r="G5" s="314"/>
      <c r="L5" s="78"/>
      <c r="M5" s="78"/>
      <c r="N5" s="78"/>
    </row>
    <row r="6" spans="1:14" ht="15" customHeight="1" x14ac:dyDescent="0.2">
      <c r="D6" s="86" t="s">
        <v>13</v>
      </c>
      <c r="E6" s="315">
        <v>2016</v>
      </c>
      <c r="F6" s="316"/>
      <c r="G6" s="317"/>
    </row>
    <row r="7" spans="1:14" ht="15" customHeight="1" x14ac:dyDescent="0.2">
      <c r="D7" s="86"/>
      <c r="E7" s="87"/>
      <c r="F7" s="160"/>
      <c r="G7" s="160"/>
    </row>
    <row r="8" spans="1:14" ht="48" x14ac:dyDescent="0.2">
      <c r="A8" s="161" t="s">
        <v>19</v>
      </c>
      <c r="B8" s="162" t="s">
        <v>31</v>
      </c>
      <c r="C8" s="163" t="s">
        <v>7</v>
      </c>
      <c r="D8" s="164" t="s">
        <v>137</v>
      </c>
      <c r="E8" s="164" t="s">
        <v>96</v>
      </c>
      <c r="F8" s="318" t="s">
        <v>95</v>
      </c>
      <c r="G8" s="318"/>
      <c r="H8" s="318"/>
      <c r="I8" s="164" t="s">
        <v>136</v>
      </c>
      <c r="J8" s="164" t="s">
        <v>97</v>
      </c>
      <c r="K8" s="164" t="s">
        <v>135</v>
      </c>
    </row>
    <row r="9" spans="1:14" ht="15" customHeight="1" x14ac:dyDescent="0.2">
      <c r="A9" s="183" t="str">
        <f>'Renewables Report'!A40</f>
        <v>Priest Rapids Project</v>
      </c>
      <c r="B9" s="184" t="str">
        <f>'Renewables Report'!B40</f>
        <v>n/a</v>
      </c>
      <c r="C9" s="185">
        <f>SUM('Renewables Report'!E40)</f>
        <v>3205</v>
      </c>
      <c r="D9" s="165">
        <f>490210/26000*3205</f>
        <v>60427.80961538462</v>
      </c>
      <c r="E9" s="194">
        <f>IF(C9&gt;0,D9/C9,"")</f>
        <v>18.854230769230771</v>
      </c>
      <c r="F9" s="301" t="s">
        <v>251</v>
      </c>
      <c r="G9" s="302"/>
      <c r="H9" s="303"/>
      <c r="I9" s="165">
        <f>H174</f>
        <v>60064.048698559869</v>
      </c>
      <c r="J9" s="194">
        <f>IF(C9&gt;0,I9/C9,"")</f>
        <v>18.74073282326361</v>
      </c>
      <c r="K9" s="194">
        <f>MAX(0,D9-I9)</f>
        <v>363.76091682475089</v>
      </c>
    </row>
    <row r="10" spans="1:14" ht="15" customHeight="1" x14ac:dyDescent="0.2">
      <c r="A10" s="186">
        <f>'Renewables Report'!A41</f>
        <v>0</v>
      </c>
      <c r="B10" s="187">
        <f>'Renewables Report'!B41</f>
        <v>0</v>
      </c>
      <c r="C10" s="188">
        <f>SUM('Renewables Report'!E41)</f>
        <v>0</v>
      </c>
      <c r="D10" s="166"/>
      <c r="E10" s="195" t="str">
        <f t="shared" ref="E10:E29" si="0">IF(C10&gt;0,D10/C10,"")</f>
        <v/>
      </c>
      <c r="F10" s="283"/>
      <c r="G10" s="284"/>
      <c r="H10" s="285"/>
      <c r="I10" s="166"/>
      <c r="J10" s="195" t="str">
        <f t="shared" ref="J10:J29" si="1">IF(C10&gt;0,I10/C10,"")</f>
        <v/>
      </c>
      <c r="K10" s="195">
        <f t="shared" ref="K10:K29" si="2">MAX(0,D10-I10)</f>
        <v>0</v>
      </c>
    </row>
    <row r="11" spans="1:14" ht="15" customHeight="1" x14ac:dyDescent="0.2">
      <c r="A11" s="186">
        <f>'Renewables Report'!A42</f>
        <v>0</v>
      </c>
      <c r="B11" s="187">
        <f>'Renewables Report'!B42</f>
        <v>0</v>
      </c>
      <c r="C11" s="188">
        <f>SUM('Renewables Report'!E42)</f>
        <v>0</v>
      </c>
      <c r="D11" s="166"/>
      <c r="E11" s="195" t="str">
        <f t="shared" si="0"/>
        <v/>
      </c>
      <c r="F11" s="283"/>
      <c r="G11" s="284"/>
      <c r="H11" s="285"/>
      <c r="I11" s="166"/>
      <c r="J11" s="195" t="str">
        <f t="shared" si="1"/>
        <v/>
      </c>
      <c r="K11" s="195">
        <f t="shared" si="2"/>
        <v>0</v>
      </c>
    </row>
    <row r="12" spans="1:14" ht="15" customHeight="1" x14ac:dyDescent="0.2">
      <c r="A12" s="186">
        <f>'Renewables Report'!A43</f>
        <v>0</v>
      </c>
      <c r="B12" s="187">
        <f>'Renewables Report'!B43</f>
        <v>0</v>
      </c>
      <c r="C12" s="188">
        <f>SUM('Renewables Report'!E43)</f>
        <v>0</v>
      </c>
      <c r="D12" s="166"/>
      <c r="E12" s="195" t="str">
        <f t="shared" si="0"/>
        <v/>
      </c>
      <c r="F12" s="283"/>
      <c r="G12" s="284"/>
      <c r="H12" s="285"/>
      <c r="I12" s="166"/>
      <c r="J12" s="195" t="str">
        <f t="shared" si="1"/>
        <v/>
      </c>
      <c r="K12" s="195">
        <f t="shared" si="2"/>
        <v>0</v>
      </c>
    </row>
    <row r="13" spans="1:14" ht="15" customHeight="1" x14ac:dyDescent="0.2">
      <c r="A13" s="186">
        <f>'Renewables Report'!A44</f>
        <v>0</v>
      </c>
      <c r="B13" s="187">
        <f>'Renewables Report'!B44</f>
        <v>0</v>
      </c>
      <c r="C13" s="188">
        <f>SUM('Renewables Report'!E44)</f>
        <v>0</v>
      </c>
      <c r="D13" s="166"/>
      <c r="E13" s="195" t="str">
        <f t="shared" si="0"/>
        <v/>
      </c>
      <c r="F13" s="283"/>
      <c r="G13" s="284"/>
      <c r="H13" s="285"/>
      <c r="I13" s="166"/>
      <c r="J13" s="195" t="str">
        <f t="shared" si="1"/>
        <v/>
      </c>
      <c r="K13" s="195">
        <f t="shared" si="2"/>
        <v>0</v>
      </c>
    </row>
    <row r="14" spans="1:14" ht="15" customHeight="1" x14ac:dyDescent="0.2">
      <c r="A14" s="186">
        <f>'Renewables Report'!A45</f>
        <v>0</v>
      </c>
      <c r="B14" s="187">
        <f>'Renewables Report'!B45</f>
        <v>0</v>
      </c>
      <c r="C14" s="188">
        <f>SUM('Renewables Report'!E45)</f>
        <v>0</v>
      </c>
      <c r="D14" s="166"/>
      <c r="E14" s="195" t="str">
        <f t="shared" si="0"/>
        <v/>
      </c>
      <c r="F14" s="283"/>
      <c r="G14" s="284"/>
      <c r="H14" s="285"/>
      <c r="I14" s="166"/>
      <c r="J14" s="195" t="str">
        <f t="shared" si="1"/>
        <v/>
      </c>
      <c r="K14" s="195">
        <f t="shared" si="2"/>
        <v>0</v>
      </c>
    </row>
    <row r="15" spans="1:14" ht="15" customHeight="1" x14ac:dyDescent="0.2">
      <c r="A15" s="186">
        <f>'Renewables Report'!A46</f>
        <v>0</v>
      </c>
      <c r="B15" s="187">
        <f>'Renewables Report'!B46</f>
        <v>0</v>
      </c>
      <c r="C15" s="188">
        <f>SUM('Renewables Report'!E46)</f>
        <v>0</v>
      </c>
      <c r="D15" s="166"/>
      <c r="E15" s="195" t="str">
        <f t="shared" si="0"/>
        <v/>
      </c>
      <c r="F15" s="283"/>
      <c r="G15" s="284"/>
      <c r="H15" s="285"/>
      <c r="I15" s="166"/>
      <c r="J15" s="195" t="str">
        <f t="shared" si="1"/>
        <v/>
      </c>
      <c r="K15" s="195">
        <f t="shared" si="2"/>
        <v>0</v>
      </c>
    </row>
    <row r="16" spans="1:14" ht="15" customHeight="1" x14ac:dyDescent="0.2">
      <c r="A16" s="186">
        <f>'Renewables Report'!A47</f>
        <v>0</v>
      </c>
      <c r="B16" s="187">
        <f>'Renewables Report'!B47</f>
        <v>0</v>
      </c>
      <c r="C16" s="188">
        <f>SUM('Renewables Report'!E47)</f>
        <v>0</v>
      </c>
      <c r="D16" s="166"/>
      <c r="E16" s="195" t="str">
        <f t="shared" si="0"/>
        <v/>
      </c>
      <c r="F16" s="283"/>
      <c r="G16" s="284"/>
      <c r="H16" s="285"/>
      <c r="I16" s="166"/>
      <c r="J16" s="195" t="str">
        <f t="shared" si="1"/>
        <v/>
      </c>
      <c r="K16" s="195">
        <f t="shared" si="2"/>
        <v>0</v>
      </c>
    </row>
    <row r="17" spans="1:11" ht="15" customHeight="1" x14ac:dyDescent="0.2">
      <c r="A17" s="186">
        <f>'Renewables Report'!A48</f>
        <v>0</v>
      </c>
      <c r="B17" s="187">
        <f>'Renewables Report'!B48</f>
        <v>0</v>
      </c>
      <c r="C17" s="188">
        <f>SUM('Renewables Report'!E48)</f>
        <v>0</v>
      </c>
      <c r="D17" s="166"/>
      <c r="E17" s="195" t="str">
        <f t="shared" si="0"/>
        <v/>
      </c>
      <c r="F17" s="283"/>
      <c r="G17" s="284"/>
      <c r="H17" s="285"/>
      <c r="I17" s="166"/>
      <c r="J17" s="195" t="str">
        <f t="shared" si="1"/>
        <v/>
      </c>
      <c r="K17" s="195">
        <f t="shared" si="2"/>
        <v>0</v>
      </c>
    </row>
    <row r="18" spans="1:11" ht="15" customHeight="1" x14ac:dyDescent="0.2">
      <c r="A18" s="186">
        <f>'Renewables Report'!A49</f>
        <v>0</v>
      </c>
      <c r="B18" s="187">
        <f>'Renewables Report'!B49</f>
        <v>0</v>
      </c>
      <c r="C18" s="188">
        <f>SUM('Renewables Report'!E49)</f>
        <v>0</v>
      </c>
      <c r="D18" s="166"/>
      <c r="E18" s="195"/>
      <c r="F18" s="283"/>
      <c r="G18" s="284"/>
      <c r="H18" s="285"/>
      <c r="I18" s="166"/>
      <c r="J18" s="195" t="str">
        <f t="shared" si="1"/>
        <v/>
      </c>
      <c r="K18" s="195">
        <f t="shared" si="2"/>
        <v>0</v>
      </c>
    </row>
    <row r="19" spans="1:11" ht="15" customHeight="1" x14ac:dyDescent="0.2">
      <c r="A19" s="186">
        <f>'Renewables Report'!A50</f>
        <v>0</v>
      </c>
      <c r="B19" s="187">
        <f>'Renewables Report'!B50</f>
        <v>0</v>
      </c>
      <c r="C19" s="188">
        <f>SUM('Renewables Report'!E50)</f>
        <v>0</v>
      </c>
      <c r="D19" s="166"/>
      <c r="E19" s="195"/>
      <c r="F19" s="283"/>
      <c r="G19" s="284"/>
      <c r="H19" s="285"/>
      <c r="I19" s="166"/>
      <c r="J19" s="195" t="str">
        <f t="shared" si="1"/>
        <v/>
      </c>
      <c r="K19" s="195">
        <f t="shared" si="2"/>
        <v>0</v>
      </c>
    </row>
    <row r="20" spans="1:11" ht="15" customHeight="1" x14ac:dyDescent="0.2">
      <c r="A20" s="186">
        <f>'Renewables Report'!A51</f>
        <v>0</v>
      </c>
      <c r="B20" s="187">
        <f>'Renewables Report'!B51</f>
        <v>0</v>
      </c>
      <c r="C20" s="188">
        <f>SUM('Renewables Report'!E51)</f>
        <v>0</v>
      </c>
      <c r="D20" s="166"/>
      <c r="E20" s="195" t="str">
        <f t="shared" si="0"/>
        <v/>
      </c>
      <c r="F20" s="283"/>
      <c r="G20" s="284"/>
      <c r="H20" s="285"/>
      <c r="I20" s="166"/>
      <c r="J20" s="195" t="str">
        <f t="shared" si="1"/>
        <v/>
      </c>
      <c r="K20" s="195">
        <f t="shared" si="2"/>
        <v>0</v>
      </c>
    </row>
    <row r="21" spans="1:11" ht="15" customHeight="1" x14ac:dyDescent="0.2">
      <c r="A21" s="186">
        <f>'Renewables Report'!A52</f>
        <v>0</v>
      </c>
      <c r="B21" s="187">
        <f>'Renewables Report'!B52</f>
        <v>0</v>
      </c>
      <c r="C21" s="188">
        <f>SUM('Renewables Report'!E52)</f>
        <v>0</v>
      </c>
      <c r="D21" s="166"/>
      <c r="E21" s="195" t="str">
        <f t="shared" si="0"/>
        <v/>
      </c>
      <c r="F21" s="283"/>
      <c r="G21" s="284"/>
      <c r="H21" s="285"/>
      <c r="I21" s="166"/>
      <c r="J21" s="195" t="str">
        <f t="shared" si="1"/>
        <v/>
      </c>
      <c r="K21" s="195">
        <f t="shared" si="2"/>
        <v>0</v>
      </c>
    </row>
    <row r="22" spans="1:11" ht="15" customHeight="1" x14ac:dyDescent="0.2">
      <c r="A22" s="186">
        <f>'Renewables Report'!A53</f>
        <v>0</v>
      </c>
      <c r="B22" s="187">
        <f>'Renewables Report'!B53</f>
        <v>0</v>
      </c>
      <c r="C22" s="188">
        <f>SUM('Renewables Report'!E53)</f>
        <v>0</v>
      </c>
      <c r="D22" s="166"/>
      <c r="E22" s="195" t="str">
        <f t="shared" si="0"/>
        <v/>
      </c>
      <c r="F22" s="283"/>
      <c r="G22" s="284"/>
      <c r="H22" s="285"/>
      <c r="I22" s="166"/>
      <c r="J22" s="195" t="str">
        <f t="shared" si="1"/>
        <v/>
      </c>
      <c r="K22" s="195">
        <f t="shared" si="2"/>
        <v>0</v>
      </c>
    </row>
    <row r="23" spans="1:11" ht="15" customHeight="1" x14ac:dyDescent="0.2">
      <c r="A23" s="186">
        <f>'Renewables Report'!A54</f>
        <v>0</v>
      </c>
      <c r="B23" s="187">
        <f>'Renewables Report'!B54</f>
        <v>0</v>
      </c>
      <c r="C23" s="188">
        <f>SUM('Renewables Report'!E54)</f>
        <v>0</v>
      </c>
      <c r="D23" s="166"/>
      <c r="E23" s="195" t="str">
        <f t="shared" si="0"/>
        <v/>
      </c>
      <c r="F23" s="283"/>
      <c r="G23" s="284"/>
      <c r="H23" s="285"/>
      <c r="I23" s="166"/>
      <c r="J23" s="195" t="str">
        <f t="shared" si="1"/>
        <v/>
      </c>
      <c r="K23" s="195">
        <f t="shared" si="2"/>
        <v>0</v>
      </c>
    </row>
    <row r="24" spans="1:11" ht="15" customHeight="1" x14ac:dyDescent="0.2">
      <c r="A24" s="186">
        <f>'Renewables Report'!A55</f>
        <v>0</v>
      </c>
      <c r="B24" s="187">
        <f>'Renewables Report'!B55</f>
        <v>0</v>
      </c>
      <c r="C24" s="188">
        <f>SUM('Renewables Report'!E55)</f>
        <v>0</v>
      </c>
      <c r="D24" s="166"/>
      <c r="E24" s="195" t="str">
        <f t="shared" si="0"/>
        <v/>
      </c>
      <c r="F24" s="283"/>
      <c r="G24" s="284"/>
      <c r="H24" s="285"/>
      <c r="I24" s="166"/>
      <c r="J24" s="195" t="str">
        <f t="shared" si="1"/>
        <v/>
      </c>
      <c r="K24" s="195">
        <f t="shared" si="2"/>
        <v>0</v>
      </c>
    </row>
    <row r="25" spans="1:11" ht="15" customHeight="1" x14ac:dyDescent="0.2">
      <c r="A25" s="186">
        <f>'Renewables Report'!A56</f>
        <v>0</v>
      </c>
      <c r="B25" s="187">
        <f>'Renewables Report'!B56</f>
        <v>0</v>
      </c>
      <c r="C25" s="188">
        <f>SUM('Renewables Report'!E56)</f>
        <v>0</v>
      </c>
      <c r="D25" s="166"/>
      <c r="E25" s="195" t="str">
        <f t="shared" si="0"/>
        <v/>
      </c>
      <c r="F25" s="283"/>
      <c r="G25" s="284"/>
      <c r="H25" s="285"/>
      <c r="I25" s="166"/>
      <c r="J25" s="195" t="str">
        <f t="shared" si="1"/>
        <v/>
      </c>
      <c r="K25" s="195">
        <f t="shared" si="2"/>
        <v>0</v>
      </c>
    </row>
    <row r="26" spans="1:11" ht="15" customHeight="1" x14ac:dyDescent="0.2">
      <c r="A26" s="186">
        <f>'Renewables Report'!A57</f>
        <v>0</v>
      </c>
      <c r="B26" s="187">
        <f>'Renewables Report'!B57</f>
        <v>0</v>
      </c>
      <c r="C26" s="188">
        <f>SUM('Renewables Report'!E57)</f>
        <v>0</v>
      </c>
      <c r="D26" s="166"/>
      <c r="E26" s="195" t="str">
        <f t="shared" si="0"/>
        <v/>
      </c>
      <c r="F26" s="283"/>
      <c r="G26" s="284"/>
      <c r="H26" s="285"/>
      <c r="I26" s="166"/>
      <c r="J26" s="195" t="str">
        <f t="shared" si="1"/>
        <v/>
      </c>
      <c r="K26" s="195">
        <f t="shared" si="2"/>
        <v>0</v>
      </c>
    </row>
    <row r="27" spans="1:11" ht="15" customHeight="1" x14ac:dyDescent="0.2">
      <c r="A27" s="186">
        <f>'Renewables Report'!A58</f>
        <v>0</v>
      </c>
      <c r="B27" s="187">
        <f>'Renewables Report'!B58</f>
        <v>0</v>
      </c>
      <c r="C27" s="188">
        <f>SUM('Renewables Report'!E58)</f>
        <v>0</v>
      </c>
      <c r="D27" s="166"/>
      <c r="E27" s="195" t="str">
        <f t="shared" si="0"/>
        <v/>
      </c>
      <c r="F27" s="283"/>
      <c r="G27" s="284"/>
      <c r="H27" s="285"/>
      <c r="I27" s="166"/>
      <c r="J27" s="195" t="str">
        <f t="shared" si="1"/>
        <v/>
      </c>
      <c r="K27" s="195">
        <f t="shared" si="2"/>
        <v>0</v>
      </c>
    </row>
    <row r="28" spans="1:11" ht="15" customHeight="1" x14ac:dyDescent="0.2">
      <c r="A28" s="186">
        <f>'Renewables Report'!A59</f>
        <v>0</v>
      </c>
      <c r="B28" s="187">
        <f>'Renewables Report'!B59</f>
        <v>0</v>
      </c>
      <c r="C28" s="188">
        <f>SUM('Renewables Report'!E59)</f>
        <v>0</v>
      </c>
      <c r="D28" s="166"/>
      <c r="E28" s="195" t="str">
        <f t="shared" si="0"/>
        <v/>
      </c>
      <c r="F28" s="283"/>
      <c r="G28" s="284"/>
      <c r="H28" s="285"/>
      <c r="I28" s="166"/>
      <c r="J28" s="195" t="str">
        <f t="shared" si="1"/>
        <v/>
      </c>
      <c r="K28" s="195">
        <f t="shared" si="2"/>
        <v>0</v>
      </c>
    </row>
    <row r="29" spans="1:11" ht="15" customHeight="1" x14ac:dyDescent="0.2">
      <c r="A29" s="189">
        <f>'Renewables Report'!A60</f>
        <v>0</v>
      </c>
      <c r="B29" s="190">
        <f>'Renewables Report'!B60</f>
        <v>0</v>
      </c>
      <c r="C29" s="191">
        <f>SUM('Renewables Report'!E60)</f>
        <v>0</v>
      </c>
      <c r="D29" s="167"/>
      <c r="E29" s="196" t="str">
        <f t="shared" si="0"/>
        <v/>
      </c>
      <c r="F29" s="297"/>
      <c r="G29" s="298"/>
      <c r="H29" s="299"/>
      <c r="I29" s="167"/>
      <c r="J29" s="196" t="str">
        <f t="shared" si="1"/>
        <v/>
      </c>
      <c r="K29" s="196">
        <f t="shared" si="2"/>
        <v>0</v>
      </c>
    </row>
    <row r="30" spans="1:11" ht="15" customHeight="1" x14ac:dyDescent="0.2">
      <c r="A30" s="192" t="s">
        <v>98</v>
      </c>
      <c r="B30" s="192"/>
      <c r="C30" s="193">
        <f>SUM(C9:C29)</f>
        <v>3205</v>
      </c>
      <c r="D30" s="197">
        <f>SUM(D9:D29)</f>
        <v>60427.80961538462</v>
      </c>
      <c r="E30" s="197"/>
      <c r="F30" s="197"/>
      <c r="G30" s="197"/>
      <c r="H30" s="197"/>
      <c r="I30" s="197">
        <f>SUM(I9:I29)</f>
        <v>60064.048698559869</v>
      </c>
      <c r="J30" s="198"/>
      <c r="K30" s="197">
        <f>SUM(K9:K29)</f>
        <v>363.76091682475089</v>
      </c>
    </row>
    <row r="31" spans="1:11" ht="15" customHeight="1" x14ac:dyDescent="0.2">
      <c r="D31" s="78"/>
      <c r="E31" s="78"/>
      <c r="F31" s="78"/>
      <c r="G31" s="78"/>
      <c r="H31" s="78"/>
      <c r="I31" s="78"/>
      <c r="J31" s="78"/>
      <c r="K31" s="78"/>
    </row>
    <row r="32" spans="1:11" ht="17.25" customHeight="1" x14ac:dyDescent="0.25">
      <c r="A32" s="158" t="s">
        <v>102</v>
      </c>
      <c r="B32" s="168"/>
      <c r="C32" s="159"/>
      <c r="D32" s="86" t="s">
        <v>4</v>
      </c>
      <c r="E32" s="312" t="str">
        <f>E5</f>
        <v>Seattle City Light</v>
      </c>
      <c r="F32" s="313"/>
      <c r="G32" s="314"/>
    </row>
    <row r="33" spans="1:11" ht="15" customHeight="1" x14ac:dyDescent="0.2">
      <c r="A33" s="168"/>
      <c r="B33" s="168"/>
      <c r="D33" s="86" t="s">
        <v>13</v>
      </c>
      <c r="E33" s="315">
        <v>2016</v>
      </c>
      <c r="F33" s="316"/>
      <c r="G33" s="317"/>
    </row>
    <row r="34" spans="1:11" ht="15" customHeight="1" x14ac:dyDescent="0.2">
      <c r="A34" s="86"/>
      <c r="B34" s="86"/>
      <c r="C34" s="86"/>
      <c r="D34" s="156"/>
      <c r="G34" s="169"/>
      <c r="H34" s="78"/>
    </row>
    <row r="35" spans="1:11" s="171" customFormat="1" x14ac:dyDescent="0.2">
      <c r="A35" s="86"/>
      <c r="B35" s="86"/>
      <c r="C35" s="86"/>
      <c r="D35" s="170"/>
      <c r="E35" s="170"/>
      <c r="F35" s="170"/>
      <c r="H35" s="170"/>
      <c r="I35" s="170"/>
      <c r="J35" s="170"/>
      <c r="K35" s="170"/>
    </row>
    <row r="36" spans="1:11" ht="36" x14ac:dyDescent="0.2">
      <c r="A36" s="161" t="s">
        <v>19</v>
      </c>
      <c r="B36" s="172" t="s">
        <v>31</v>
      </c>
      <c r="C36" s="173" t="s">
        <v>129</v>
      </c>
      <c r="D36" s="173" t="s">
        <v>107</v>
      </c>
      <c r="E36" s="164" t="s">
        <v>108</v>
      </c>
      <c r="F36" s="164" t="s">
        <v>109</v>
      </c>
      <c r="G36" s="307" t="s">
        <v>38</v>
      </c>
      <c r="H36" s="308"/>
      <c r="I36" s="308"/>
      <c r="J36" s="308"/>
      <c r="K36" s="309"/>
    </row>
    <row r="37" spans="1:11" ht="15" customHeight="1" x14ac:dyDescent="0.2">
      <c r="A37" s="199" t="str">
        <f>'Renewables Report'!A67</f>
        <v>Stateline Wind (OR)</v>
      </c>
      <c r="B37" s="200" t="str">
        <f>'Renewables Report'!B67</f>
        <v>W249</v>
      </c>
      <c r="C37" s="201">
        <f>'Renewables Report'!C67</f>
        <v>2015</v>
      </c>
      <c r="D37" s="185">
        <f>'Renewables Report'!G67</f>
        <v>323305</v>
      </c>
      <c r="E37" s="179">
        <f>(D99-F139)*D37</f>
        <v>12440187.890038013</v>
      </c>
      <c r="F37" s="211">
        <f>IF(D37&gt;0,E37/D37,"")</f>
        <v>38.478179706586701</v>
      </c>
      <c r="G37" s="174"/>
      <c r="H37" s="78"/>
      <c r="I37" s="78"/>
      <c r="J37" s="78"/>
      <c r="K37" s="175"/>
    </row>
    <row r="38" spans="1:11" ht="15" customHeight="1" x14ac:dyDescent="0.2">
      <c r="A38" s="202" t="str">
        <f>'Renewables Report'!A68</f>
        <v>King County Metro Cogen</v>
      </c>
      <c r="B38" s="203" t="str">
        <f>'Renewables Report'!B68</f>
        <v>W2772</v>
      </c>
      <c r="C38" s="204">
        <f>'Renewables Report'!C68</f>
        <v>2016</v>
      </c>
      <c r="D38" s="188">
        <f>'Renewables Report'!G68</f>
        <v>17500</v>
      </c>
      <c r="E38" s="180">
        <f>(H99-J171)*D38</f>
        <v>1342148.6358447489</v>
      </c>
      <c r="F38" s="212">
        <f t="shared" ref="F38:F61" si="3">IF(D38&gt;0,E38/D38,"")</f>
        <v>76.694207762557085</v>
      </c>
      <c r="G38" s="174"/>
      <c r="H38" s="78"/>
      <c r="I38" s="78"/>
      <c r="J38" s="78"/>
      <c r="K38" s="175"/>
    </row>
    <row r="39" spans="1:11" ht="15" customHeight="1" x14ac:dyDescent="0.2">
      <c r="A39" s="202" t="str">
        <f>'Renewables Report'!A69</f>
        <v>Columbia Ridge 1</v>
      </c>
      <c r="B39" s="203" t="str">
        <f>'Renewables Report'!B69</f>
        <v>W1361</v>
      </c>
      <c r="C39" s="204">
        <f>'Renewables Report'!C69</f>
        <v>2015</v>
      </c>
      <c r="D39" s="188">
        <f>'Renewables Report'!G69</f>
        <v>5906</v>
      </c>
      <c r="E39" s="180">
        <f>($I$99-$L$139)*D39</f>
        <v>186272.62410045668</v>
      </c>
      <c r="F39" s="212">
        <f t="shared" si="3"/>
        <v>31.539557077625581</v>
      </c>
      <c r="G39" s="174"/>
      <c r="H39" s="78"/>
      <c r="I39" s="78"/>
      <c r="J39" s="78"/>
      <c r="K39" s="175"/>
    </row>
    <row r="40" spans="1:11" ht="15" customHeight="1" x14ac:dyDescent="0.2">
      <c r="A40" s="202" t="str">
        <f>'Renewables Report'!A70</f>
        <v>Columbia Ridge 2</v>
      </c>
      <c r="B40" s="203" t="str">
        <f>'Renewables Report'!B70</f>
        <v>W1385</v>
      </c>
      <c r="C40" s="204">
        <f>'Renewables Report'!C70</f>
        <v>2015</v>
      </c>
      <c r="D40" s="188">
        <f>'Renewables Report'!G70</f>
        <v>5899</v>
      </c>
      <c r="E40" s="180">
        <f t="shared" ref="E40:E50" si="4">($I$99-$L$139)*D40</f>
        <v>186051.8472009133</v>
      </c>
      <c r="F40" s="212">
        <f t="shared" si="3"/>
        <v>31.539557077625581</v>
      </c>
      <c r="G40" s="174"/>
      <c r="H40" s="78"/>
      <c r="I40" s="78"/>
      <c r="J40" s="78"/>
      <c r="K40" s="175"/>
    </row>
    <row r="41" spans="1:11" ht="15" customHeight="1" x14ac:dyDescent="0.2">
      <c r="A41" s="202" t="str">
        <f>'Renewables Report'!A71</f>
        <v>Columbia Ridge 3</v>
      </c>
      <c r="B41" s="203" t="str">
        <f>'Renewables Report'!B71</f>
        <v>W1387</v>
      </c>
      <c r="C41" s="204">
        <f>'Renewables Report'!C71</f>
        <v>2015</v>
      </c>
      <c r="D41" s="188">
        <f>'Renewables Report'!G71</f>
        <v>5908</v>
      </c>
      <c r="E41" s="180">
        <f t="shared" si="4"/>
        <v>186335.70321461195</v>
      </c>
      <c r="F41" s="212">
        <f t="shared" si="3"/>
        <v>31.539557077625584</v>
      </c>
      <c r="G41" s="174"/>
      <c r="H41" s="78"/>
      <c r="I41" s="78"/>
      <c r="J41" s="78"/>
      <c r="K41" s="175"/>
    </row>
    <row r="42" spans="1:11" ht="15" customHeight="1" x14ac:dyDescent="0.2">
      <c r="A42" s="202" t="str">
        <f>'Renewables Report'!A72</f>
        <v>Columbia Ridge 4</v>
      </c>
      <c r="B42" s="203" t="str">
        <f>'Renewables Report'!B72</f>
        <v>W1388</v>
      </c>
      <c r="C42" s="204">
        <f>'Renewables Report'!C72</f>
        <v>2015</v>
      </c>
      <c r="D42" s="188">
        <f>'Renewables Report'!G72</f>
        <v>5876</v>
      </c>
      <c r="E42" s="180">
        <f t="shared" si="4"/>
        <v>185326.4373881279</v>
      </c>
      <c r="F42" s="212">
        <f t="shared" si="3"/>
        <v>31.539557077625577</v>
      </c>
      <c r="G42" s="174"/>
      <c r="H42" s="78"/>
      <c r="I42" s="78"/>
      <c r="J42" s="78"/>
      <c r="K42" s="175"/>
    </row>
    <row r="43" spans="1:11" ht="15" customHeight="1" x14ac:dyDescent="0.2">
      <c r="A43" s="202" t="str">
        <f>'Renewables Report'!A73</f>
        <v>Columbia Ridge 5</v>
      </c>
      <c r="B43" s="203" t="str">
        <f>'Renewables Report'!B73</f>
        <v>W1389</v>
      </c>
      <c r="C43" s="204">
        <f>'Renewables Report'!C73</f>
        <v>2015</v>
      </c>
      <c r="D43" s="188">
        <f>'Renewables Report'!G73</f>
        <v>5799</v>
      </c>
      <c r="E43" s="180">
        <f t="shared" si="4"/>
        <v>182897.89149315073</v>
      </c>
      <c r="F43" s="212">
        <f t="shared" si="3"/>
        <v>31.539557077625577</v>
      </c>
      <c r="G43" s="174"/>
      <c r="H43" s="78"/>
      <c r="I43" s="78"/>
      <c r="J43" s="78"/>
      <c r="K43" s="175"/>
    </row>
    <row r="44" spans="1:11" ht="15" customHeight="1" x14ac:dyDescent="0.2">
      <c r="A44" s="202" t="str">
        <f>'Renewables Report'!A74</f>
        <v>Columbia Ridge 6</v>
      </c>
      <c r="B44" s="203" t="str">
        <f>'Renewables Report'!B74</f>
        <v>W1390</v>
      </c>
      <c r="C44" s="204">
        <f>'Renewables Report'!C74</f>
        <v>2015</v>
      </c>
      <c r="D44" s="188">
        <f>'Renewables Report'!G74</f>
        <v>5877</v>
      </c>
      <c r="E44" s="180">
        <f t="shared" si="4"/>
        <v>185357.97694520553</v>
      </c>
      <c r="F44" s="212">
        <f t="shared" si="3"/>
        <v>31.539557077625581</v>
      </c>
      <c r="G44" s="174"/>
      <c r="H44" s="78"/>
      <c r="I44" s="78"/>
      <c r="J44" s="78"/>
      <c r="K44" s="175"/>
    </row>
    <row r="45" spans="1:11" ht="15" customHeight="1" x14ac:dyDescent="0.2">
      <c r="A45" s="202" t="str">
        <f>'Renewables Report'!A75</f>
        <v>Columbia Ridge 7</v>
      </c>
      <c r="B45" s="203" t="str">
        <f>'Renewables Report'!B75</f>
        <v>W1391</v>
      </c>
      <c r="C45" s="204">
        <f>'Renewables Report'!C75</f>
        <v>2015</v>
      </c>
      <c r="D45" s="188">
        <f>'Renewables Report'!G75</f>
        <v>5953</v>
      </c>
      <c r="E45" s="180">
        <f t="shared" si="4"/>
        <v>187754.98328310507</v>
      </c>
      <c r="F45" s="212">
        <f t="shared" si="3"/>
        <v>31.539557077625581</v>
      </c>
      <c r="G45" s="174"/>
      <c r="H45" s="78"/>
      <c r="I45" s="78"/>
      <c r="J45" s="78"/>
      <c r="K45" s="175"/>
    </row>
    <row r="46" spans="1:11" ht="15" customHeight="1" x14ac:dyDescent="0.2">
      <c r="A46" s="202" t="str">
        <f>'Renewables Report'!A76</f>
        <v>Columbia Ridge 8</v>
      </c>
      <c r="B46" s="203" t="str">
        <f>'Renewables Report'!B76</f>
        <v>W1392</v>
      </c>
      <c r="C46" s="204">
        <f>'Renewables Report'!C76</f>
        <v>2015</v>
      </c>
      <c r="D46" s="188">
        <f>'Renewables Report'!G76</f>
        <v>5887</v>
      </c>
      <c r="E46" s="180">
        <f t="shared" si="4"/>
        <v>185673.37251598178</v>
      </c>
      <c r="F46" s="212">
        <f t="shared" si="3"/>
        <v>31.539557077625577</v>
      </c>
      <c r="G46" s="174"/>
      <c r="H46" s="78"/>
      <c r="I46" s="78"/>
      <c r="J46" s="78"/>
      <c r="K46" s="175"/>
    </row>
    <row r="47" spans="1:11" ht="15" customHeight="1" x14ac:dyDescent="0.2">
      <c r="A47" s="202" t="str">
        <f>'Renewables Report'!A77</f>
        <v>Columbia Ridge 1 Plant 2</v>
      </c>
      <c r="B47" s="203" t="str">
        <f>'Renewables Report'!B77</f>
        <v>W4195</v>
      </c>
      <c r="C47" s="204">
        <f>'Renewables Report'!C77</f>
        <v>2015</v>
      </c>
      <c r="D47" s="188">
        <f>'Renewables Report'!G77</f>
        <v>11182</v>
      </c>
      <c r="E47" s="180">
        <f t="shared" si="4"/>
        <v>352675.32724200923</v>
      </c>
      <c r="F47" s="212">
        <f t="shared" si="3"/>
        <v>31.539557077625577</v>
      </c>
      <c r="G47" s="174"/>
      <c r="H47" s="78"/>
      <c r="I47" s="78"/>
      <c r="J47" s="78"/>
      <c r="K47" s="175"/>
    </row>
    <row r="48" spans="1:11" ht="15" customHeight="1" x14ac:dyDescent="0.2">
      <c r="A48" s="202" t="str">
        <f>'Renewables Report'!A78</f>
        <v>Columbia Ridge 2 Plant 2</v>
      </c>
      <c r="B48" s="203" t="str">
        <f>'Renewables Report'!B78</f>
        <v>W4196</v>
      </c>
      <c r="C48" s="204">
        <f>'Renewables Report'!C78</f>
        <v>2015</v>
      </c>
      <c r="D48" s="188">
        <f>'Renewables Report'!G78</f>
        <v>9643</v>
      </c>
      <c r="E48" s="180">
        <f t="shared" si="4"/>
        <v>304135.94889954349</v>
      </c>
      <c r="F48" s="212">
        <f t="shared" si="3"/>
        <v>31.539557077625584</v>
      </c>
      <c r="G48" s="174"/>
      <c r="H48" s="78"/>
      <c r="I48" s="78"/>
      <c r="J48" s="78"/>
      <c r="K48" s="175"/>
    </row>
    <row r="49" spans="1:11" ht="15" customHeight="1" x14ac:dyDescent="0.2">
      <c r="A49" s="202" t="str">
        <f>'Renewables Report'!A79</f>
        <v>Columbia Ridge 3 Plant 2</v>
      </c>
      <c r="B49" s="203" t="str">
        <f>'Renewables Report'!B79</f>
        <v>W4197</v>
      </c>
      <c r="C49" s="204">
        <f>'Renewables Report'!C79</f>
        <v>2015</v>
      </c>
      <c r="D49" s="188">
        <f>'Renewables Report'!G79</f>
        <v>11177</v>
      </c>
      <c r="E49" s="180">
        <f t="shared" si="4"/>
        <v>352517.62945662113</v>
      </c>
      <c r="F49" s="212">
        <f t="shared" si="3"/>
        <v>31.539557077625581</v>
      </c>
      <c r="G49" s="174"/>
      <c r="H49" s="78"/>
      <c r="I49" s="78"/>
      <c r="J49" s="78"/>
      <c r="K49" s="175"/>
    </row>
    <row r="50" spans="1:11" ht="15" customHeight="1" x14ac:dyDescent="0.2">
      <c r="A50" s="202" t="str">
        <f>'Renewables Report'!A80</f>
        <v>Columbia Ridge 4 Plant 2</v>
      </c>
      <c r="B50" s="203" t="str">
        <f>'Renewables Report'!B80</f>
        <v>W4198</v>
      </c>
      <c r="C50" s="204">
        <f>'Renewables Report'!C80</f>
        <v>2015</v>
      </c>
      <c r="D50" s="188">
        <f>'Renewables Report'!G80</f>
        <v>11080</v>
      </c>
      <c r="E50" s="180">
        <f t="shared" si="4"/>
        <v>349458.29242009146</v>
      </c>
      <c r="F50" s="212">
        <f t="shared" si="3"/>
        <v>31.539557077625584</v>
      </c>
      <c r="G50" s="174"/>
      <c r="H50" s="78"/>
      <c r="I50" s="78"/>
      <c r="J50" s="78"/>
      <c r="K50" s="175"/>
    </row>
    <row r="51" spans="1:11" ht="15" customHeight="1" x14ac:dyDescent="0.2">
      <c r="A51" s="202" t="str">
        <f>'Renewables Report'!A81</f>
        <v>Condon Phase II</v>
      </c>
      <c r="B51" s="203" t="str">
        <f>'Renewables Report'!B81</f>
        <v>W833</v>
      </c>
      <c r="C51" s="204">
        <f>'Renewables Report'!C81</f>
        <v>2015</v>
      </c>
      <c r="D51" s="188">
        <f>'Renewables Report'!G81</f>
        <v>3000</v>
      </c>
      <c r="E51" s="180" t="s">
        <v>328</v>
      </c>
      <c r="F51" s="212" t="e">
        <f t="shared" si="3"/>
        <v>#VALUE!</v>
      </c>
      <c r="G51" s="174"/>
      <c r="H51" s="78"/>
      <c r="I51" s="78"/>
      <c r="J51" s="78"/>
      <c r="K51" s="175"/>
    </row>
    <row r="52" spans="1:11" ht="15" customHeight="1" x14ac:dyDescent="0.2">
      <c r="A52" s="202" t="str">
        <f>'Renewables Report'!A82</f>
        <v>Condon Wind Power Project</v>
      </c>
      <c r="B52" s="203" t="str">
        <f>'Renewables Report'!B82</f>
        <v>W774</v>
      </c>
      <c r="C52" s="204">
        <f>'Renewables Report'!C82</f>
        <v>2015</v>
      </c>
      <c r="D52" s="188">
        <f>'Renewables Report'!G82</f>
        <v>2612</v>
      </c>
      <c r="E52" s="180" t="s">
        <v>328</v>
      </c>
      <c r="F52" s="212" t="e">
        <f t="shared" si="3"/>
        <v>#VALUE!</v>
      </c>
      <c r="G52" s="174"/>
      <c r="H52" s="78"/>
      <c r="I52" s="78"/>
      <c r="J52" s="78"/>
      <c r="K52" s="175"/>
    </row>
    <row r="53" spans="1:11" ht="15" customHeight="1" x14ac:dyDescent="0.2">
      <c r="A53" s="202" t="str">
        <f>'Renewables Report'!A83</f>
        <v>Klondike III</v>
      </c>
      <c r="B53" s="203" t="str">
        <f>'Renewables Report'!B83</f>
        <v>W237</v>
      </c>
      <c r="C53" s="204">
        <f>'Renewables Report'!C83</f>
        <v>2015</v>
      </c>
      <c r="D53" s="188">
        <f>'Renewables Report'!G83</f>
        <v>7109</v>
      </c>
      <c r="E53" s="180" t="s">
        <v>328</v>
      </c>
      <c r="F53" s="212" t="e">
        <f t="shared" si="3"/>
        <v>#VALUE!</v>
      </c>
      <c r="G53" s="174"/>
      <c r="H53" s="78"/>
      <c r="I53" s="78"/>
      <c r="J53" s="78"/>
      <c r="K53" s="175"/>
    </row>
    <row r="54" spans="1:11" ht="15" customHeight="1" x14ac:dyDescent="0.2">
      <c r="A54" s="202" t="str">
        <f>'Renewables Report'!A84</f>
        <v>Klondike Wind Power</v>
      </c>
      <c r="B54" s="203" t="str">
        <f>'Renewables Report'!B84</f>
        <v>W238</v>
      </c>
      <c r="C54" s="204">
        <f>'Renewables Report'!C84</f>
        <v>2015</v>
      </c>
      <c r="D54" s="188">
        <f>'Renewables Report'!G84</f>
        <v>3482</v>
      </c>
      <c r="E54" s="180" t="s">
        <v>328</v>
      </c>
      <c r="F54" s="212" t="e">
        <f t="shared" si="3"/>
        <v>#VALUE!</v>
      </c>
      <c r="G54" s="174"/>
      <c r="H54" s="78"/>
      <c r="I54" s="78"/>
      <c r="J54" s="78"/>
      <c r="K54" s="175"/>
    </row>
    <row r="55" spans="1:11" ht="15" customHeight="1" x14ac:dyDescent="0.2">
      <c r="A55" s="202" t="str">
        <f>'Renewables Report'!A85</f>
        <v>Raft River Energy I</v>
      </c>
      <c r="B55" s="203" t="str">
        <f>'Renewables Report'!B85</f>
        <v>W228</v>
      </c>
      <c r="C55" s="204">
        <f>'Renewables Report'!C85</f>
        <v>2015</v>
      </c>
      <c r="D55" s="188">
        <f>'Renewables Report'!G85</f>
        <v>75357</v>
      </c>
      <c r="E55" s="180">
        <f>15*D55</f>
        <v>1130355</v>
      </c>
      <c r="F55" s="212">
        <f t="shared" si="3"/>
        <v>15</v>
      </c>
      <c r="G55" s="174"/>
      <c r="H55" s="78"/>
      <c r="I55" s="78"/>
      <c r="J55" s="78"/>
      <c r="K55" s="175"/>
    </row>
    <row r="56" spans="1:11" ht="15" customHeight="1" x14ac:dyDescent="0.2">
      <c r="A56" s="202" t="str">
        <f>'Renewables Report'!A86</f>
        <v>Stateline Wind (WA)</v>
      </c>
      <c r="B56" s="203" t="str">
        <f>'Renewables Report'!B86</f>
        <v>W248</v>
      </c>
      <c r="C56" s="204">
        <f>'Renewables Report'!C86</f>
        <v>2015</v>
      </c>
      <c r="D56" s="188">
        <f>'Renewables Report'!G86</f>
        <v>9918</v>
      </c>
      <c r="E56" s="180" t="s">
        <v>328</v>
      </c>
      <c r="F56" s="212" t="e">
        <f t="shared" si="3"/>
        <v>#VALUE!</v>
      </c>
      <c r="G56" s="174"/>
      <c r="H56" s="78"/>
      <c r="I56" s="78"/>
      <c r="J56" s="78"/>
      <c r="K56" s="175"/>
    </row>
    <row r="57" spans="1:11" ht="15" customHeight="1" x14ac:dyDescent="0.2">
      <c r="A57" s="202" t="str">
        <f>'Renewables Report'!A87</f>
        <v>Sawtooth Wind</v>
      </c>
      <c r="B57" s="203" t="str">
        <f>'Renewables Report'!B87</f>
        <v>W2323</v>
      </c>
      <c r="C57" s="204">
        <f>'Renewables Report'!C87</f>
        <v>2015</v>
      </c>
      <c r="D57" s="188">
        <f>'Renewables Report'!G87</f>
        <v>49976</v>
      </c>
      <c r="E57" s="180">
        <f>16*D57</f>
        <v>799616</v>
      </c>
      <c r="F57" s="212">
        <f t="shared" si="3"/>
        <v>16</v>
      </c>
      <c r="G57" s="174"/>
      <c r="H57" s="78"/>
      <c r="I57" s="78"/>
      <c r="J57" s="78"/>
      <c r="K57" s="175"/>
    </row>
    <row r="58" spans="1:11" ht="15" customHeight="1" x14ac:dyDescent="0.2">
      <c r="A58" s="202" t="str">
        <f>'Renewables Report'!A88</f>
        <v>Sierra Pacific Burlington</v>
      </c>
      <c r="B58" s="203" t="str">
        <f>'Renewables Report'!B88</f>
        <v>W1491</v>
      </c>
      <c r="C58" s="204">
        <f>'Renewables Report'!C88</f>
        <v>2015</v>
      </c>
      <c r="D58" s="188">
        <f>'Renewables Report'!G88</f>
        <v>25407</v>
      </c>
      <c r="E58" s="180">
        <f>(J99-N139)*D58</f>
        <v>1137460.136671233</v>
      </c>
      <c r="F58" s="212">
        <f t="shared" si="3"/>
        <v>44.769557077625578</v>
      </c>
      <c r="G58" s="174"/>
      <c r="H58" s="78"/>
      <c r="I58" s="78"/>
      <c r="J58" s="78"/>
      <c r="K58" s="175"/>
    </row>
    <row r="59" spans="1:11" ht="15" customHeight="1" x14ac:dyDescent="0.2">
      <c r="A59" s="202" t="str">
        <f>'Renewables Report'!A89</f>
        <v>Tuana Springs</v>
      </c>
      <c r="B59" s="203" t="str">
        <f>'Renewables Report'!B89</f>
        <v>W1503</v>
      </c>
      <c r="C59" s="204">
        <f>'Renewables Report'!C89</f>
        <v>2015</v>
      </c>
      <c r="D59" s="188">
        <f>'Renewables Report'!G89</f>
        <v>27457</v>
      </c>
      <c r="E59" s="180">
        <f>15*D59</f>
        <v>411855</v>
      </c>
      <c r="F59" s="212">
        <f t="shared" si="3"/>
        <v>15</v>
      </c>
      <c r="G59" s="174"/>
      <c r="H59" s="78"/>
      <c r="I59" s="78"/>
      <c r="J59" s="78"/>
      <c r="K59" s="175"/>
    </row>
    <row r="60" spans="1:11" ht="15" customHeight="1" x14ac:dyDescent="0.2">
      <c r="A60" s="202" t="str">
        <f>'Renewables Report'!A90</f>
        <v>Stateline Wind (OR)</v>
      </c>
      <c r="B60" s="203" t="str">
        <f>'Renewables Report'!B90</f>
        <v>W249</v>
      </c>
      <c r="C60" s="204">
        <f>'Renewables Report'!C90</f>
        <v>2016</v>
      </c>
      <c r="D60" s="188">
        <f>'Renewables Report'!G90</f>
        <v>176400</v>
      </c>
      <c r="E60" s="180">
        <f>(E99-F171)*D60</f>
        <v>8341288.2680155206</v>
      </c>
      <c r="F60" s="212">
        <f t="shared" si="3"/>
        <v>47.286214671289798</v>
      </c>
      <c r="G60" s="174"/>
      <c r="H60" s="78"/>
      <c r="I60" s="78"/>
      <c r="J60" s="78"/>
      <c r="K60" s="175"/>
    </row>
    <row r="61" spans="1:11" ht="15" customHeight="1" x14ac:dyDescent="0.2">
      <c r="A61" s="205">
        <f>'Renewables Report'!A91</f>
        <v>0</v>
      </c>
      <c r="B61" s="206">
        <f>'Renewables Report'!B91</f>
        <v>0</v>
      </c>
      <c r="C61" s="207">
        <f>'Renewables Report'!C91</f>
        <v>0</v>
      </c>
      <c r="D61" s="208">
        <f>'Renewables Report'!G91</f>
        <v>0</v>
      </c>
      <c r="E61" s="181"/>
      <c r="F61" s="213" t="str">
        <f t="shared" si="3"/>
        <v/>
      </c>
      <c r="G61" s="174"/>
      <c r="H61" s="78"/>
      <c r="I61" s="78"/>
      <c r="J61" s="78"/>
      <c r="K61" s="175"/>
    </row>
    <row r="62" spans="1:11" ht="15" customHeight="1" x14ac:dyDescent="0.2">
      <c r="A62" s="192" t="s">
        <v>6</v>
      </c>
      <c r="B62" s="209"/>
      <c r="C62" s="209"/>
      <c r="D62" s="210"/>
      <c r="E62" s="197">
        <f>SUM(E37:E61)</f>
        <v>28447368.964729331</v>
      </c>
      <c r="F62" s="210"/>
      <c r="G62" s="176"/>
      <c r="H62" s="177"/>
      <c r="I62" s="177"/>
      <c r="J62" s="177"/>
      <c r="K62" s="178"/>
    </row>
    <row r="63" spans="1:11" x14ac:dyDescent="0.2">
      <c r="E63" s="321"/>
    </row>
    <row r="85" spans="2:15" ht="15" x14ac:dyDescent="0.25">
      <c r="B85" s="220" t="s">
        <v>252</v>
      </c>
    </row>
    <row r="87" spans="2:15" ht="15" x14ac:dyDescent="0.25">
      <c r="C87" s="221" t="s">
        <v>253</v>
      </c>
      <c r="D87" s="222" t="s">
        <v>254</v>
      </c>
      <c r="E87" s="222" t="s">
        <v>254</v>
      </c>
      <c r="F87" s="223" t="s">
        <v>255</v>
      </c>
      <c r="G87" s="223" t="s">
        <v>256</v>
      </c>
      <c r="H87" s="223" t="s">
        <v>257</v>
      </c>
      <c r="I87" s="77" t="s">
        <v>313</v>
      </c>
      <c r="J87" s="5" t="s">
        <v>320</v>
      </c>
      <c r="K87" s="223" t="s">
        <v>258</v>
      </c>
      <c r="L87" s="1"/>
      <c r="M87" s="1"/>
      <c r="N87" s="1"/>
      <c r="O87" s="1"/>
    </row>
    <row r="88" spans="2:15" ht="15" x14ac:dyDescent="0.25">
      <c r="B88" s="220"/>
      <c r="C88" s="221" t="s">
        <v>259</v>
      </c>
      <c r="D88" s="223" t="s">
        <v>260</v>
      </c>
      <c r="E88" s="223" t="s">
        <v>260</v>
      </c>
      <c r="F88" s="223"/>
      <c r="G88" s="223"/>
      <c r="H88" s="223"/>
      <c r="J88" s="1"/>
      <c r="K88" s="223" t="s">
        <v>261</v>
      </c>
      <c r="L88" s="1"/>
      <c r="M88" s="1"/>
      <c r="N88" s="1"/>
      <c r="O88" s="1"/>
    </row>
    <row r="89" spans="2:15" ht="15" x14ac:dyDescent="0.25">
      <c r="B89" s="220"/>
      <c r="C89" s="221" t="s">
        <v>262</v>
      </c>
      <c r="D89" s="223" t="s">
        <v>263</v>
      </c>
      <c r="E89" s="223" t="s">
        <v>321</v>
      </c>
      <c r="F89" s="223" t="s">
        <v>264</v>
      </c>
      <c r="G89" s="223" t="s">
        <v>265</v>
      </c>
      <c r="H89" s="223" t="s">
        <v>266</v>
      </c>
      <c r="I89" s="223" t="s">
        <v>267</v>
      </c>
      <c r="J89" s="223" t="s">
        <v>314</v>
      </c>
      <c r="K89" s="223" t="s">
        <v>315</v>
      </c>
      <c r="L89" s="1"/>
      <c r="M89" s="1"/>
      <c r="N89" s="1"/>
      <c r="O89" s="1"/>
    </row>
    <row r="90" spans="2:15" ht="15" x14ac:dyDescent="0.25">
      <c r="B90"/>
      <c r="C90"/>
      <c r="D90">
        <v>2015</v>
      </c>
      <c r="E90" s="77">
        <v>2016</v>
      </c>
      <c r="F90"/>
      <c r="G90">
        <v>2016</v>
      </c>
      <c r="H90">
        <v>2016</v>
      </c>
      <c r="I90" s="77">
        <v>2015</v>
      </c>
      <c r="J90" s="1">
        <v>2015</v>
      </c>
      <c r="K90"/>
      <c r="L90" s="1"/>
      <c r="M90" s="1"/>
      <c r="N90" s="1"/>
      <c r="O90" s="1"/>
    </row>
    <row r="91" spans="2:15" ht="15" x14ac:dyDescent="0.25">
      <c r="B91"/>
      <c r="C91" s="224"/>
      <c r="D91" s="224"/>
      <c r="F91"/>
      <c r="G91"/>
      <c r="H91"/>
      <c r="J91" s="1"/>
      <c r="K91"/>
      <c r="L91" s="1"/>
      <c r="M91" s="1"/>
      <c r="N91" s="1"/>
      <c r="O91" s="1"/>
    </row>
    <row r="92" spans="2:15" ht="15" x14ac:dyDescent="0.25">
      <c r="B92" s="223" t="s">
        <v>268</v>
      </c>
      <c r="C92" s="225">
        <f>F170</f>
        <v>333075.00757575751</v>
      </c>
      <c r="D92" s="226">
        <f>D37</f>
        <v>323305</v>
      </c>
      <c r="E92" s="248">
        <f>D60</f>
        <v>176400</v>
      </c>
      <c r="F92" s="227">
        <v>26000</v>
      </c>
      <c r="G92" s="227">
        <f>C9</f>
        <v>3205</v>
      </c>
      <c r="H92" s="227">
        <f>J170</f>
        <v>17520</v>
      </c>
      <c r="I92" s="77">
        <v>94271</v>
      </c>
      <c r="J92" s="1">
        <v>26280</v>
      </c>
      <c r="K92" s="228"/>
      <c r="L92" s="1"/>
      <c r="M92" s="1"/>
      <c r="N92" s="1"/>
      <c r="O92" s="1"/>
    </row>
    <row r="93" spans="2:15" ht="15" x14ac:dyDescent="0.25">
      <c r="B93" s="223" t="s">
        <v>269</v>
      </c>
      <c r="C93" s="224">
        <v>37.96</v>
      </c>
      <c r="D93" s="224">
        <f>C93</f>
        <v>37.96</v>
      </c>
      <c r="E93" s="247">
        <f>C93</f>
        <v>37.96</v>
      </c>
      <c r="F93" s="224"/>
      <c r="G93" s="224">
        <f>490210/26000</f>
        <v>18.854230769230771</v>
      </c>
      <c r="H93" s="224">
        <v>95.09</v>
      </c>
      <c r="I93" s="77">
        <v>58</v>
      </c>
      <c r="J93" s="1">
        <v>71.23</v>
      </c>
      <c r="K93" s="224"/>
      <c r="L93" s="1"/>
      <c r="M93" s="1"/>
      <c r="N93" s="1"/>
      <c r="O93" s="1"/>
    </row>
    <row r="94" spans="2:15" ht="15" x14ac:dyDescent="0.25">
      <c r="B94" s="223" t="s">
        <v>270</v>
      </c>
      <c r="C94" s="224">
        <v>14.86</v>
      </c>
      <c r="D94" s="224">
        <v>14.57</v>
      </c>
      <c r="E94" s="247">
        <f t="shared" ref="E94:E95" si="5">C94</f>
        <v>14.86</v>
      </c>
      <c r="F94" s="224"/>
      <c r="G94" s="224"/>
      <c r="H94" s="224"/>
      <c r="J94" s="1"/>
      <c r="K94" s="224"/>
      <c r="L94" s="1"/>
      <c r="M94" s="1"/>
      <c r="N94" s="1"/>
      <c r="O94" s="1"/>
    </row>
    <row r="95" spans="2:15" ht="15" x14ac:dyDescent="0.25">
      <c r="B95" s="221" t="s">
        <v>271</v>
      </c>
      <c r="C95" s="224">
        <v>2</v>
      </c>
      <c r="D95" s="224">
        <f>C95</f>
        <v>2</v>
      </c>
      <c r="E95" s="247">
        <f t="shared" si="5"/>
        <v>2</v>
      </c>
      <c r="F95"/>
      <c r="G95"/>
      <c r="H95"/>
      <c r="J95" s="1"/>
      <c r="K95" s="224"/>
      <c r="L95" s="1"/>
      <c r="M95" s="1"/>
      <c r="N95" s="1"/>
      <c r="O95" s="1"/>
    </row>
    <row r="96" spans="2:15" ht="15" x14ac:dyDescent="0.25">
      <c r="B96" s="221" t="s">
        <v>272</v>
      </c>
      <c r="C96" s="229">
        <f>C93*C92</f>
        <v>12643527.287575755</v>
      </c>
      <c r="D96" s="230">
        <f>D93*D92</f>
        <v>12272657.800000001</v>
      </c>
      <c r="E96" s="230">
        <f>E93*E92</f>
        <v>6696144</v>
      </c>
      <c r="F96" s="230"/>
      <c r="G96" s="230">
        <f>G93*G92</f>
        <v>60427.80961538462</v>
      </c>
      <c r="H96" s="230">
        <f>H93*H92</f>
        <v>1665976.8</v>
      </c>
      <c r="I96" s="230">
        <f>I93*I92</f>
        <v>5467718</v>
      </c>
      <c r="J96" s="230">
        <f>J93*J92</f>
        <v>1871924.4000000001</v>
      </c>
      <c r="K96" s="230">
        <f>SUM(D96:J96)</f>
        <v>28034848.809615385</v>
      </c>
      <c r="L96" s="1"/>
      <c r="M96" s="1"/>
      <c r="N96" s="1"/>
      <c r="O96" s="1"/>
    </row>
    <row r="97" spans="2:15" ht="15.75" thickBot="1" x14ac:dyDescent="0.3">
      <c r="B97" s="221" t="s">
        <v>273</v>
      </c>
      <c r="C97" s="231">
        <f>C94*C92+175*2000*12</f>
        <v>9149494.6125757564</v>
      </c>
      <c r="D97" s="231">
        <f>D94*D92+175*2000*12*D92/C92</f>
        <v>8787356.2792280521</v>
      </c>
      <c r="E97" s="231">
        <f>E94*E92+175*2000*12*E92/D92</f>
        <v>4912886.2520530149</v>
      </c>
      <c r="F97" s="231"/>
      <c r="G97" s="231"/>
      <c r="H97" s="231"/>
      <c r="I97" s="231"/>
      <c r="J97" s="231"/>
      <c r="K97" s="231">
        <f>SUM(D97:J97)</f>
        <v>13700242.531281067</v>
      </c>
      <c r="L97" s="1"/>
      <c r="M97" s="1"/>
      <c r="N97" s="1"/>
      <c r="O97" s="1"/>
    </row>
    <row r="98" spans="2:15" ht="15.75" thickTop="1" x14ac:dyDescent="0.25">
      <c r="B98" s="221" t="s">
        <v>274</v>
      </c>
      <c r="C98" s="230">
        <f t="shared" ref="C98:H98" si="6">C97+C96</f>
        <v>21793021.900151514</v>
      </c>
      <c r="D98" s="230">
        <f>D97+D96</f>
        <v>21060014.079228051</v>
      </c>
      <c r="E98" s="230">
        <f>E97+E96</f>
        <v>11609030.252053015</v>
      </c>
      <c r="F98" s="230">
        <f t="shared" si="6"/>
        <v>0</v>
      </c>
      <c r="G98" s="230">
        <f t="shared" si="6"/>
        <v>60427.80961538462</v>
      </c>
      <c r="H98" s="230">
        <f t="shared" si="6"/>
        <v>1665976.8</v>
      </c>
      <c r="I98" s="230">
        <f t="shared" ref="I98:J98" si="7">I97+I96</f>
        <v>5467718</v>
      </c>
      <c r="J98" s="230">
        <f t="shared" si="7"/>
        <v>1871924.4000000001</v>
      </c>
      <c r="K98" s="230">
        <f>SUM(D98:J98)</f>
        <v>41735091.34089645</v>
      </c>
      <c r="L98" s="245" t="b">
        <f>SUM(K96:K97)=K98</f>
        <v>1</v>
      </c>
      <c r="M98" s="1" t="s">
        <v>327</v>
      </c>
      <c r="N98" s="1"/>
      <c r="O98" s="1"/>
    </row>
    <row r="99" spans="2:15" ht="15" x14ac:dyDescent="0.25">
      <c r="B99" s="320" t="s">
        <v>336</v>
      </c>
      <c r="C99" s="220"/>
      <c r="D99" s="224">
        <f>D98/D92</f>
        <v>65.139772286936648</v>
      </c>
      <c r="E99" s="224">
        <f>E98/E92</f>
        <v>65.810829093271053</v>
      </c>
      <c r="F99"/>
      <c r="G99" s="224">
        <f>G98/G92</f>
        <v>18.854230769230771</v>
      </c>
      <c r="H99" s="224">
        <f>H98/H92</f>
        <v>95.09</v>
      </c>
      <c r="I99" s="224">
        <f>I98/I92</f>
        <v>58</v>
      </c>
      <c r="J99" s="224">
        <f>J98/J92</f>
        <v>71.23</v>
      </c>
      <c r="K99" s="1"/>
      <c r="L99" s="1"/>
      <c r="M99" s="1"/>
      <c r="N99" s="1"/>
      <c r="O99" s="1"/>
    </row>
    <row r="100" spans="2:15" ht="15" x14ac:dyDescent="0.25">
      <c r="B100" s="220"/>
      <c r="C100" s="220"/>
      <c r="D100" s="224"/>
      <c r="E100" s="224"/>
      <c r="F100"/>
      <c r="G100" s="224"/>
      <c r="H100" s="224"/>
      <c r="I100" s="224"/>
      <c r="J100" s="224"/>
      <c r="K100" s="1"/>
      <c r="L100" s="1"/>
      <c r="M100" s="1"/>
      <c r="N100" s="1"/>
      <c r="O100" s="1"/>
    </row>
    <row r="101" spans="2:15" ht="15" x14ac:dyDescent="0.25">
      <c r="B101" t="s">
        <v>275</v>
      </c>
      <c r="C101" s="1"/>
      <c r="D101" s="1"/>
      <c r="E101" s="1"/>
      <c r="F101" s="1"/>
      <c r="G101" s="1"/>
      <c r="H101" s="1"/>
      <c r="I101" s="1"/>
      <c r="J101" s="1"/>
      <c r="K101" s="1"/>
      <c r="L101" s="1"/>
      <c r="M101" s="1"/>
      <c r="N101" s="1"/>
      <c r="O101" s="1"/>
    </row>
    <row r="102" spans="2:15" ht="15" x14ac:dyDescent="0.25">
      <c r="B102" s="232" t="s">
        <v>311</v>
      </c>
      <c r="C102" s="1"/>
      <c r="D102" s="1"/>
      <c r="E102" s="1"/>
      <c r="F102" s="1"/>
      <c r="G102" s="1"/>
      <c r="H102" s="1"/>
      <c r="I102" s="1"/>
      <c r="J102" s="1"/>
      <c r="K102" s="245"/>
      <c r="L102" s="1"/>
      <c r="M102" s="1"/>
      <c r="N102" s="1"/>
      <c r="O102" s="1"/>
    </row>
    <row r="103" spans="2:15" ht="15" x14ac:dyDescent="0.25">
      <c r="B103" t="s">
        <v>276</v>
      </c>
      <c r="C103" s="1"/>
      <c r="D103" s="1"/>
      <c r="E103" s="1"/>
      <c r="F103" s="1"/>
      <c r="G103" s="1"/>
      <c r="H103" s="1"/>
      <c r="I103" s="1"/>
      <c r="J103" s="1"/>
      <c r="K103" s="245"/>
      <c r="L103" s="1"/>
      <c r="M103" s="1"/>
      <c r="N103" s="1"/>
      <c r="O103" s="1"/>
    </row>
    <row r="104" spans="2:15" ht="15" x14ac:dyDescent="0.25">
      <c r="B104" t="s">
        <v>326</v>
      </c>
      <c r="C104" s="1"/>
      <c r="D104" s="1"/>
      <c r="E104" s="1"/>
      <c r="F104" s="1"/>
      <c r="G104" s="1"/>
      <c r="H104" s="1"/>
      <c r="I104" s="1"/>
      <c r="J104" s="1"/>
      <c r="K104" s="1"/>
      <c r="L104" s="1"/>
      <c r="M104" s="1"/>
      <c r="N104" s="1"/>
      <c r="O104" s="1"/>
    </row>
    <row r="105" spans="2:15" ht="15" x14ac:dyDescent="0.25">
      <c r="B105" t="s">
        <v>277</v>
      </c>
      <c r="C105" s="1"/>
      <c r="D105" s="1"/>
      <c r="E105" s="1"/>
      <c r="F105" s="1"/>
      <c r="G105" s="1"/>
      <c r="H105" s="1"/>
      <c r="I105" s="1"/>
      <c r="J105" s="1"/>
      <c r="K105" s="1"/>
      <c r="L105" s="1"/>
      <c r="M105" s="1"/>
      <c r="N105" s="1"/>
      <c r="O105" s="1"/>
    </row>
    <row r="106" spans="2:15" ht="15" x14ac:dyDescent="0.25">
      <c r="B106" t="s">
        <v>318</v>
      </c>
      <c r="C106" s="1"/>
      <c r="D106" s="1"/>
      <c r="E106" s="1"/>
      <c r="F106" s="1"/>
      <c r="G106" s="1"/>
      <c r="H106" s="1"/>
      <c r="I106" s="1"/>
      <c r="J106" s="1"/>
      <c r="K106" s="1"/>
      <c r="L106" s="1"/>
      <c r="M106" s="1"/>
      <c r="N106" s="1"/>
      <c r="O106" s="1"/>
    </row>
    <row r="107" spans="2:15" ht="15" x14ac:dyDescent="0.25">
      <c r="B107" t="s">
        <v>319</v>
      </c>
      <c r="C107" s="1"/>
      <c r="D107" s="1"/>
      <c r="E107" s="1"/>
      <c r="F107" s="1"/>
      <c r="G107" s="1"/>
      <c r="H107" s="1"/>
      <c r="I107" s="1"/>
      <c r="J107" s="1"/>
      <c r="K107" s="1"/>
      <c r="L107" s="1"/>
      <c r="M107" s="1"/>
      <c r="N107" s="1"/>
      <c r="O107" s="1"/>
    </row>
    <row r="108" spans="2:15" ht="15" x14ac:dyDescent="0.25">
      <c r="B108" t="s">
        <v>316</v>
      </c>
      <c r="C108" s="1"/>
      <c r="D108" s="1"/>
      <c r="E108" s="1"/>
      <c r="F108" s="1"/>
      <c r="G108" s="1"/>
      <c r="H108" s="1"/>
      <c r="I108" s="1"/>
      <c r="J108" s="1"/>
      <c r="K108" s="1"/>
      <c r="L108" s="1"/>
      <c r="M108" s="1"/>
      <c r="N108" s="1"/>
      <c r="O108" s="1"/>
    </row>
    <row r="109" spans="2:15" ht="15" x14ac:dyDescent="0.25">
      <c r="B109" t="s">
        <v>317</v>
      </c>
      <c r="C109" s="1"/>
      <c r="D109" s="1"/>
      <c r="E109" s="1"/>
      <c r="F109" s="1"/>
      <c r="G109" s="1"/>
      <c r="H109" s="1"/>
      <c r="I109" s="1"/>
      <c r="J109" s="1"/>
      <c r="K109" s="1"/>
      <c r="L109" s="1"/>
      <c r="M109" s="1"/>
      <c r="N109" s="1"/>
      <c r="O109" s="1"/>
    </row>
    <row r="110" spans="2:15" ht="15" x14ac:dyDescent="0.25">
      <c r="B110" t="s">
        <v>278</v>
      </c>
      <c r="C110" s="1"/>
      <c r="D110" s="1"/>
      <c r="E110" s="1"/>
      <c r="F110" s="1"/>
      <c r="G110" s="1"/>
      <c r="H110" s="1"/>
      <c r="I110" s="1"/>
      <c r="J110" s="1"/>
      <c r="K110" s="1"/>
      <c r="L110" s="1"/>
      <c r="M110" s="1"/>
      <c r="N110" s="1"/>
      <c r="O110" s="1"/>
    </row>
    <row r="111" spans="2:15" ht="15" x14ac:dyDescent="0.25">
      <c r="B111" t="s">
        <v>329</v>
      </c>
      <c r="C111" s="1"/>
      <c r="D111" s="1"/>
      <c r="E111" s="1"/>
      <c r="F111" s="1"/>
      <c r="G111" s="1"/>
      <c r="H111" s="1"/>
      <c r="I111" s="1"/>
      <c r="J111" s="1"/>
      <c r="K111" s="1"/>
      <c r="L111" s="1"/>
      <c r="M111" s="1"/>
      <c r="N111" s="1"/>
      <c r="O111" s="1"/>
    </row>
    <row r="112" spans="2:15" ht="15" x14ac:dyDescent="0.25">
      <c r="B112" t="s">
        <v>330</v>
      </c>
      <c r="C112" s="1"/>
      <c r="D112" s="1"/>
      <c r="E112" s="1"/>
      <c r="F112" s="1"/>
      <c r="G112" s="1"/>
      <c r="H112" s="1"/>
      <c r="I112" s="1"/>
      <c r="J112" s="1"/>
      <c r="K112" s="1"/>
      <c r="L112" s="1"/>
      <c r="M112" s="1"/>
      <c r="N112" s="1"/>
      <c r="O112" s="1"/>
    </row>
    <row r="113" spans="2:18" ht="15" x14ac:dyDescent="0.25">
      <c r="B113" s="233" t="s">
        <v>279</v>
      </c>
      <c r="C113" s="1"/>
      <c r="D113" s="1"/>
      <c r="E113" s="1"/>
      <c r="F113" s="1"/>
      <c r="G113" s="1"/>
      <c r="H113" s="1"/>
      <c r="I113" s="1"/>
      <c r="J113" s="1"/>
      <c r="K113" s="1"/>
      <c r="L113" s="1"/>
      <c r="M113" s="1"/>
      <c r="N113" s="1"/>
      <c r="O113" s="1"/>
    </row>
    <row r="114" spans="2:18" ht="15" x14ac:dyDescent="0.25">
      <c r="B114" t="s">
        <v>280</v>
      </c>
      <c r="C114" s="1"/>
      <c r="D114" s="1"/>
      <c r="E114" s="1"/>
      <c r="F114" s="1"/>
      <c r="G114" s="1"/>
      <c r="H114" s="1"/>
      <c r="I114" s="1"/>
      <c r="J114" s="1"/>
      <c r="K114" s="1"/>
      <c r="L114" s="1"/>
      <c r="M114" s="1"/>
      <c r="N114" s="1"/>
      <c r="O114" s="1"/>
    </row>
    <row r="115" spans="2:18" ht="15" x14ac:dyDescent="0.25">
      <c r="B115" t="s">
        <v>281</v>
      </c>
      <c r="C115" s="1"/>
      <c r="D115" s="1"/>
      <c r="E115" s="1"/>
      <c r="F115" s="1"/>
      <c r="G115" s="1"/>
      <c r="H115" s="1"/>
      <c r="I115" s="1"/>
      <c r="J115" s="1"/>
      <c r="K115" s="1"/>
      <c r="L115" s="1"/>
      <c r="M115" s="1"/>
      <c r="N115" s="1"/>
      <c r="O115" s="1"/>
    </row>
    <row r="116" spans="2:18" ht="15" x14ac:dyDescent="0.25">
      <c r="B116" t="s">
        <v>282</v>
      </c>
      <c r="C116" s="1"/>
      <c r="D116" s="1"/>
      <c r="E116" s="1"/>
      <c r="F116" s="1"/>
      <c r="G116" s="1"/>
      <c r="H116" s="1"/>
      <c r="I116" s="1"/>
      <c r="J116" s="1"/>
      <c r="K116" s="1"/>
      <c r="L116" s="1"/>
      <c r="M116" s="1"/>
      <c r="N116" s="1"/>
      <c r="O116" s="1"/>
    </row>
    <row r="117" spans="2:18" x14ac:dyDescent="0.2">
      <c r="B117" s="1" t="s">
        <v>337</v>
      </c>
      <c r="C117" s="1"/>
      <c r="D117" s="1"/>
      <c r="E117" s="1"/>
      <c r="F117" s="1"/>
      <c r="G117" s="1"/>
      <c r="H117" s="1"/>
      <c r="I117" s="1"/>
      <c r="J117" s="1"/>
      <c r="K117" s="1"/>
      <c r="L117" s="1"/>
      <c r="M117" s="1"/>
      <c r="N117" s="1"/>
      <c r="O117" s="1"/>
    </row>
    <row r="118" spans="2:18" ht="15" x14ac:dyDescent="0.25">
      <c r="B118" s="220" t="s">
        <v>283</v>
      </c>
      <c r="C118" s="1"/>
      <c r="R118" s="1"/>
    </row>
    <row r="119" spans="2:18" x14ac:dyDescent="0.2">
      <c r="B119" s="1"/>
      <c r="C119" s="1"/>
      <c r="R119" s="1"/>
    </row>
    <row r="120" spans="2:18" x14ac:dyDescent="0.2">
      <c r="B120" s="1"/>
      <c r="C120" s="1"/>
      <c r="D120" s="77" t="s">
        <v>331</v>
      </c>
      <c r="R120" s="1"/>
    </row>
    <row r="121" spans="2:18" ht="15" x14ac:dyDescent="0.25">
      <c r="B121" s="1"/>
      <c r="C121" s="1"/>
      <c r="D121" s="234"/>
      <c r="E121" s="234"/>
      <c r="F121" s="234"/>
      <c r="G121" s="1"/>
      <c r="H121" s="1"/>
      <c r="I121" s="1"/>
      <c r="J121" s="1"/>
      <c r="K121" s="1"/>
      <c r="L121"/>
      <c r="M121"/>
      <c r="N121"/>
      <c r="O121" s="1"/>
      <c r="P121" s="235" t="s">
        <v>333</v>
      </c>
      <c r="Q121" s="234"/>
      <c r="R121" s="1"/>
    </row>
    <row r="122" spans="2:18" ht="15" x14ac:dyDescent="0.25">
      <c r="B122" s="1"/>
      <c r="C122" s="1"/>
      <c r="D122" s="1"/>
      <c r="E122" s="234" t="s">
        <v>284</v>
      </c>
      <c r="F122" s="234"/>
      <c r="G122" s="1"/>
      <c r="H122" s="1"/>
      <c r="I122" s="5"/>
      <c r="J122" s="1"/>
      <c r="K122" s="5" t="s">
        <v>313</v>
      </c>
      <c r="L122" s="1"/>
      <c r="M122" s="1" t="s">
        <v>229</v>
      </c>
      <c r="N122" s="1"/>
      <c r="O122" s="1"/>
      <c r="P122" s="236" t="s">
        <v>286</v>
      </c>
      <c r="Q122" s="237"/>
      <c r="R122" s="1"/>
    </row>
    <row r="123" spans="2:18" ht="15" x14ac:dyDescent="0.25">
      <c r="B123" s="1"/>
      <c r="C123" s="1"/>
      <c r="D123" s="1"/>
      <c r="E123" s="5" t="s">
        <v>287</v>
      </c>
      <c r="F123" s="223"/>
      <c r="G123" s="5"/>
      <c r="H123" s="5"/>
      <c r="I123" s="5"/>
      <c r="J123" s="5"/>
      <c r="K123" s="5" t="s">
        <v>288</v>
      </c>
      <c r="L123" s="5"/>
      <c r="M123" s="5" t="s">
        <v>289</v>
      </c>
      <c r="N123" s="1"/>
      <c r="O123" s="1"/>
      <c r="P123" s="238" t="s">
        <v>290</v>
      </c>
      <c r="Q123" s="239" t="s">
        <v>291</v>
      </c>
      <c r="R123" s="1"/>
    </row>
    <row r="124" spans="2:18" ht="15" x14ac:dyDescent="0.25">
      <c r="B124" s="1"/>
      <c r="C124" s="1"/>
      <c r="D124" s="234"/>
      <c r="E124" s="223" t="s">
        <v>291</v>
      </c>
      <c r="F124" s="223" t="s">
        <v>290</v>
      </c>
      <c r="G124" s="223"/>
      <c r="H124" s="223"/>
      <c r="I124" s="223"/>
      <c r="J124" s="223"/>
      <c r="K124" s="223" t="s">
        <v>291</v>
      </c>
      <c r="L124" s="223" t="s">
        <v>290</v>
      </c>
      <c r="M124" s="223" t="s">
        <v>291</v>
      </c>
      <c r="N124" s="223" t="s">
        <v>290</v>
      </c>
      <c r="O124" s="1"/>
      <c r="P124" s="234"/>
      <c r="Q124" s="234"/>
      <c r="R124" s="1"/>
    </row>
    <row r="125" spans="2:18" ht="15" x14ac:dyDescent="0.25">
      <c r="B125" s="1"/>
      <c r="C125" s="1"/>
      <c r="D125" s="234" t="s">
        <v>292</v>
      </c>
      <c r="E125" s="240">
        <v>12764.666666666666</v>
      </c>
      <c r="F125" s="240">
        <v>14040</v>
      </c>
      <c r="G125" s="228"/>
      <c r="H125" s="228"/>
      <c r="I125" s="1"/>
      <c r="J125" s="1"/>
      <c r="K125" s="257">
        <v>4476.7963470319637</v>
      </c>
      <c r="L125" s="257">
        <v>3529.7817351598169</v>
      </c>
      <c r="M125" s="256">
        <v>1248</v>
      </c>
      <c r="N125" s="256">
        <v>984</v>
      </c>
      <c r="O125" s="1"/>
      <c r="P125" s="319">
        <v>30.75</v>
      </c>
      <c r="Q125" s="319">
        <v>25.75</v>
      </c>
      <c r="R125" s="1"/>
    </row>
    <row r="126" spans="2:18" ht="15" x14ac:dyDescent="0.25">
      <c r="B126" s="1"/>
      <c r="C126" s="1"/>
      <c r="D126" s="234" t="s">
        <v>293</v>
      </c>
      <c r="E126" s="240">
        <v>11448</v>
      </c>
      <c r="F126" s="240">
        <v>12128</v>
      </c>
      <c r="G126" s="228"/>
      <c r="H126" s="228"/>
      <c r="I126" s="1"/>
      <c r="J126" s="1"/>
      <c r="K126" s="257">
        <v>4132.4273972602741</v>
      </c>
      <c r="L126" s="257">
        <v>3099.3205479452054</v>
      </c>
      <c r="M126" s="256">
        <v>1152</v>
      </c>
      <c r="N126" s="256">
        <v>864</v>
      </c>
      <c r="O126" s="1"/>
      <c r="P126" s="319">
        <v>30</v>
      </c>
      <c r="Q126" s="319">
        <v>25.65</v>
      </c>
      <c r="R126" s="1"/>
    </row>
    <row r="127" spans="2:18" ht="15" x14ac:dyDescent="0.25">
      <c r="B127" s="1"/>
      <c r="C127" s="1"/>
      <c r="D127" s="234" t="s">
        <v>294</v>
      </c>
      <c r="E127" s="240">
        <v>12453.25</v>
      </c>
      <c r="F127" s="240">
        <v>14976</v>
      </c>
      <c r="G127" s="228"/>
      <c r="H127" s="228"/>
      <c r="I127" s="1"/>
      <c r="J127" s="1"/>
      <c r="K127" s="257">
        <v>4476.7963470319637</v>
      </c>
      <c r="L127" s="257">
        <v>3519.0202054794522</v>
      </c>
      <c r="M127" s="256">
        <v>1248</v>
      </c>
      <c r="N127" s="256">
        <v>981</v>
      </c>
      <c r="O127" s="1"/>
      <c r="P127" s="319">
        <v>28.5</v>
      </c>
      <c r="Q127" s="319">
        <v>23.93</v>
      </c>
      <c r="R127" s="1"/>
    </row>
    <row r="128" spans="2:18" ht="15" x14ac:dyDescent="0.25">
      <c r="B128" s="1"/>
      <c r="C128" s="1"/>
      <c r="D128" s="234" t="s">
        <v>295</v>
      </c>
      <c r="E128" s="240">
        <v>9880</v>
      </c>
      <c r="F128" s="240">
        <v>12826.666666666666</v>
      </c>
      <c r="G128" s="228"/>
      <c r="H128" s="228"/>
      <c r="I128" s="1"/>
      <c r="J128" s="1"/>
      <c r="K128" s="257">
        <v>4476.7963470319637</v>
      </c>
      <c r="L128" s="257">
        <v>3271.5050228310502</v>
      </c>
      <c r="M128" s="256">
        <v>1248</v>
      </c>
      <c r="N128" s="256">
        <v>912</v>
      </c>
      <c r="O128" s="1"/>
      <c r="P128" s="319">
        <v>26.68</v>
      </c>
      <c r="Q128" s="319">
        <v>19.77</v>
      </c>
      <c r="R128" s="1"/>
    </row>
    <row r="129" spans="2:18" ht="15" x14ac:dyDescent="0.25">
      <c r="B129" s="1"/>
      <c r="C129" s="1"/>
      <c r="D129" s="234" t="s">
        <v>296</v>
      </c>
      <c r="E129" s="240">
        <v>15580</v>
      </c>
      <c r="F129" s="240">
        <v>19066.666666666668</v>
      </c>
      <c r="G129" s="228"/>
      <c r="H129" s="228"/>
      <c r="I129" s="1"/>
      <c r="J129" s="1"/>
      <c r="K129" s="257">
        <v>4304.6118721461189</v>
      </c>
      <c r="L129" s="257">
        <v>3701.9662100456621</v>
      </c>
      <c r="M129" s="256">
        <v>1200</v>
      </c>
      <c r="N129" s="256">
        <v>1032</v>
      </c>
      <c r="O129" s="1"/>
      <c r="P129" s="319">
        <v>25.81</v>
      </c>
      <c r="Q129" s="319">
        <v>13.87</v>
      </c>
      <c r="R129" s="1"/>
    </row>
    <row r="130" spans="2:18" ht="15" x14ac:dyDescent="0.25">
      <c r="B130" s="1"/>
      <c r="C130" s="1"/>
      <c r="D130" s="234" t="s">
        <v>297</v>
      </c>
      <c r="E130" s="240">
        <v>16186.666666666668</v>
      </c>
      <c r="F130" s="240">
        <v>17100</v>
      </c>
      <c r="G130" s="228"/>
      <c r="H130" s="228"/>
      <c r="I130" s="1"/>
      <c r="J130" s="1"/>
      <c r="K130" s="257">
        <v>4476.7963470319637</v>
      </c>
      <c r="L130" s="257">
        <v>3271.5050228310502</v>
      </c>
      <c r="M130" s="256">
        <v>1248</v>
      </c>
      <c r="N130" s="256">
        <v>912</v>
      </c>
      <c r="O130" s="1"/>
      <c r="P130" s="319">
        <v>25.06</v>
      </c>
      <c r="Q130" s="319">
        <v>12.87</v>
      </c>
      <c r="R130" s="1"/>
    </row>
    <row r="131" spans="2:18" ht="15" x14ac:dyDescent="0.25">
      <c r="B131" s="1"/>
      <c r="C131" s="1"/>
      <c r="D131" s="234" t="s">
        <v>298</v>
      </c>
      <c r="E131" s="240">
        <v>16161.454545454546</v>
      </c>
      <c r="F131" s="240">
        <v>15429.818181818184</v>
      </c>
      <c r="G131" s="228"/>
      <c r="H131" s="228"/>
      <c r="I131" s="1"/>
      <c r="J131" s="1"/>
      <c r="K131" s="257">
        <v>4476.7963470319637</v>
      </c>
      <c r="L131" s="257">
        <v>3529.7817351598169</v>
      </c>
      <c r="M131" s="256">
        <v>1248</v>
      </c>
      <c r="N131" s="256">
        <v>984</v>
      </c>
      <c r="O131" s="1"/>
      <c r="P131" s="319">
        <v>33.71</v>
      </c>
      <c r="Q131" s="319">
        <v>20.55</v>
      </c>
      <c r="R131" s="1"/>
    </row>
    <row r="132" spans="2:18" ht="15" x14ac:dyDescent="0.25">
      <c r="B132" s="1"/>
      <c r="C132" s="1"/>
      <c r="D132" s="234" t="s">
        <v>299</v>
      </c>
      <c r="E132" s="240">
        <v>16507.636363636364</v>
      </c>
      <c r="F132" s="240">
        <v>16219.636363636364</v>
      </c>
      <c r="G132" s="228"/>
      <c r="H132" s="228"/>
      <c r="I132" s="1"/>
      <c r="J132" s="1"/>
      <c r="K132" s="257">
        <v>4476.7963470319637</v>
      </c>
      <c r="L132" s="257">
        <v>3529.7817351598169</v>
      </c>
      <c r="M132" s="256">
        <v>1248</v>
      </c>
      <c r="N132" s="256">
        <v>984</v>
      </c>
      <c r="O132" s="1"/>
      <c r="P132" s="319">
        <v>35.450000000000003</v>
      </c>
      <c r="Q132" s="319">
        <v>27.95</v>
      </c>
      <c r="R132" s="1"/>
    </row>
    <row r="133" spans="2:18" ht="15" x14ac:dyDescent="0.25">
      <c r="B133" s="1"/>
      <c r="C133" s="1"/>
      <c r="D133" s="234" t="s">
        <v>300</v>
      </c>
      <c r="E133" s="240">
        <v>16250.18181818182</v>
      </c>
      <c r="F133" s="240">
        <v>11310.545454545454</v>
      </c>
      <c r="G133" s="228"/>
      <c r="H133" s="228"/>
      <c r="I133" s="1"/>
      <c r="J133" s="1"/>
      <c r="K133" s="257">
        <v>4304.6118721461189</v>
      </c>
      <c r="L133" s="257">
        <v>3443.6894977168949</v>
      </c>
      <c r="M133" s="256">
        <v>1200</v>
      </c>
      <c r="N133" s="256">
        <v>960</v>
      </c>
      <c r="O133" s="1"/>
      <c r="P133" s="319">
        <v>34.340000000000003</v>
      </c>
      <c r="Q133" s="319">
        <v>25.45</v>
      </c>
      <c r="R133" s="1"/>
    </row>
    <row r="134" spans="2:18" ht="15" x14ac:dyDescent="0.25">
      <c r="B134" s="1"/>
      <c r="C134" s="1"/>
      <c r="D134" s="234" t="s">
        <v>301</v>
      </c>
      <c r="E134" s="240">
        <v>13772</v>
      </c>
      <c r="F134" s="240">
        <v>12960</v>
      </c>
      <c r="G134" s="228"/>
      <c r="H134" s="228"/>
      <c r="I134" s="1"/>
      <c r="J134" s="1"/>
      <c r="K134" s="257">
        <v>4648.9808219178085</v>
      </c>
      <c r="L134" s="257">
        <v>3368.3587899543377</v>
      </c>
      <c r="M134" s="256">
        <v>1296</v>
      </c>
      <c r="N134" s="256">
        <v>939</v>
      </c>
      <c r="O134" s="1"/>
      <c r="P134" s="319">
        <v>31.02</v>
      </c>
      <c r="Q134" s="319">
        <v>24.61</v>
      </c>
      <c r="R134" s="1"/>
    </row>
    <row r="135" spans="2:18" ht="15" x14ac:dyDescent="0.25">
      <c r="B135" s="1"/>
      <c r="C135" s="1"/>
      <c r="D135" s="234" t="s">
        <v>302</v>
      </c>
      <c r="E135" s="240">
        <v>11258.181818181818</v>
      </c>
      <c r="F135" s="240">
        <v>10545.454545454546</v>
      </c>
      <c r="G135" s="228"/>
      <c r="H135" s="228"/>
      <c r="I135" s="1"/>
      <c r="J135" s="1"/>
      <c r="K135" s="257">
        <v>4132.4273972602741</v>
      </c>
      <c r="L135" s="257">
        <v>3615.8739726027397</v>
      </c>
      <c r="M135" s="256">
        <v>1152</v>
      </c>
      <c r="N135" s="256">
        <v>1008</v>
      </c>
      <c r="O135" s="1"/>
      <c r="P135" s="319">
        <v>31.77</v>
      </c>
      <c r="Q135" s="319">
        <v>26.81</v>
      </c>
      <c r="R135" s="1"/>
    </row>
    <row r="136" spans="2:18" ht="15" x14ac:dyDescent="0.25">
      <c r="B136" s="1"/>
      <c r="C136" s="1"/>
      <c r="D136" s="234" t="s">
        <v>303</v>
      </c>
      <c r="E136" s="240">
        <v>11664.727272727272</v>
      </c>
      <c r="F136" s="240">
        <v>12545.454545454546</v>
      </c>
      <c r="G136" s="228"/>
      <c r="H136" s="228"/>
      <c r="I136" s="1"/>
      <c r="J136" s="1"/>
      <c r="K136" s="257">
        <v>4476.7963470319637</v>
      </c>
      <c r="L136" s="257">
        <v>3529.7817351598169</v>
      </c>
      <c r="M136" s="256">
        <v>1248</v>
      </c>
      <c r="N136" s="256">
        <v>984</v>
      </c>
      <c r="O136" s="1"/>
      <c r="P136" s="319">
        <v>32.61</v>
      </c>
      <c r="Q136" s="319">
        <v>32.36</v>
      </c>
      <c r="R136" s="1"/>
    </row>
    <row r="137" spans="2:18" ht="15" x14ac:dyDescent="0.25">
      <c r="B137" s="1"/>
      <c r="C137" s="1"/>
      <c r="D137" s="234"/>
      <c r="E137" s="241"/>
      <c r="F137" s="241"/>
      <c r="G137" s="234"/>
      <c r="H137" s="1"/>
      <c r="I137" s="234"/>
      <c r="J137" s="1"/>
      <c r="K137" s="234"/>
      <c r="L137" s="1"/>
      <c r="M137" s="234"/>
      <c r="N137" s="1"/>
      <c r="O137" s="1"/>
      <c r="P137" s="1"/>
      <c r="Q137" s="1"/>
    </row>
    <row r="138" spans="2:18" ht="15" x14ac:dyDescent="0.25">
      <c r="B138" s="1"/>
      <c r="C138" s="1"/>
      <c r="D138" s="234" t="s">
        <v>304</v>
      </c>
      <c r="E138" s="241"/>
      <c r="F138" s="241">
        <f>SUM(E125:F136)</f>
        <v>333075.00757575751</v>
      </c>
      <c r="G138"/>
      <c r="H138" s="241"/>
      <c r="I138" s="234"/>
      <c r="J138" s="241"/>
      <c r="K138" s="234"/>
      <c r="L138" s="241">
        <f>SUM(K125:L136)</f>
        <v>94271.000000000015</v>
      </c>
      <c r="M138" s="234"/>
      <c r="N138" s="241">
        <f>SUM(M125:N136)</f>
        <v>26280</v>
      </c>
      <c r="O138" s="1"/>
      <c r="P138" s="1"/>
      <c r="Q138" s="1"/>
    </row>
    <row r="139" spans="2:18" ht="15" x14ac:dyDescent="0.25">
      <c r="B139" s="1"/>
      <c r="C139" s="1"/>
      <c r="D139" s="234" t="s">
        <v>305</v>
      </c>
      <c r="E139"/>
      <c r="F139" s="242">
        <f>(SUMPRODUCT(F125:F136,P125:P136)+SUMPRODUCT(E125:E136,Q125:Q136))/F138</f>
        <v>26.66159258034995</v>
      </c>
      <c r="G139" s="1"/>
      <c r="H139" s="242"/>
      <c r="I139"/>
      <c r="J139" s="242"/>
      <c r="K139"/>
      <c r="L139" s="242">
        <f>(SUMPRODUCT(L125:L136,$P125:$P136)+SUMPRODUCT(K125:K136,$Q125:$Q136))/L138</f>
        <v>26.460442922374419</v>
      </c>
      <c r="M139"/>
      <c r="N139" s="242">
        <f>(SUMPRODUCT(N125:N136,$P125:$P136)+SUMPRODUCT(M125:M136,$Q125:$Q136))/N138</f>
        <v>26.460442922374426</v>
      </c>
      <c r="O139" s="1"/>
      <c r="P139" s="1" t="s">
        <v>306</v>
      </c>
      <c r="Q139" s="1"/>
    </row>
    <row r="140" spans="2:18" ht="15" x14ac:dyDescent="0.25">
      <c r="B140" s="1"/>
      <c r="C140" s="1"/>
      <c r="D140" s="1" t="s">
        <v>307</v>
      </c>
      <c r="E140" s="1"/>
      <c r="F140" s="243">
        <f>D92</f>
        <v>323305</v>
      </c>
      <c r="G140" s="1"/>
      <c r="H140" s="244"/>
      <c r="I140" s="1"/>
      <c r="J140" s="244"/>
      <c r="K140" s="1"/>
      <c r="L140" s="244">
        <f>I92</f>
        <v>94271</v>
      </c>
      <c r="M140" s="1"/>
      <c r="N140" s="244">
        <f>J92</f>
        <v>26280</v>
      </c>
      <c r="O140" s="1"/>
      <c r="P140"/>
      <c r="Q140"/>
    </row>
    <row r="141" spans="2:18" ht="15" x14ac:dyDescent="0.25">
      <c r="B141" s="1"/>
      <c r="C141" s="1"/>
      <c r="D141" s="1"/>
      <c r="E141" s="1"/>
      <c r="F141" s="1"/>
      <c r="G141" s="1"/>
      <c r="H141" s="1"/>
      <c r="I141" s="1"/>
      <c r="J141" s="1"/>
      <c r="K141" s="1"/>
      <c r="L141" s="1"/>
      <c r="M141" s="1"/>
      <c r="N141" s="1"/>
      <c r="O141" s="1"/>
      <c r="P141"/>
      <c r="Q141"/>
    </row>
    <row r="142" spans="2:18" ht="15" x14ac:dyDescent="0.25">
      <c r="B142" s="1"/>
      <c r="C142" s="1"/>
      <c r="D142" s="1" t="s">
        <v>338</v>
      </c>
      <c r="E142" s="1"/>
      <c r="F142" s="245">
        <f>F139*F140</f>
        <v>8619826.1891900413</v>
      </c>
      <c r="G142" s="1"/>
      <c r="H142" s="245"/>
      <c r="I142" s="1"/>
      <c r="J142" s="245"/>
      <c r="K142" s="1"/>
      <c r="L142" s="245">
        <f>L139*L140</f>
        <v>2494452.4147351589</v>
      </c>
      <c r="M142" s="1"/>
      <c r="N142" s="245">
        <f>N139*N140</f>
        <v>695380.44</v>
      </c>
      <c r="O142" s="1"/>
      <c r="P142"/>
      <c r="Q142"/>
    </row>
    <row r="143" spans="2:18" x14ac:dyDescent="0.2">
      <c r="B143" s="1"/>
      <c r="C143" s="1"/>
      <c r="D143" s="1" t="s">
        <v>308</v>
      </c>
      <c r="E143" s="1"/>
      <c r="F143" s="1"/>
      <c r="G143" s="1"/>
      <c r="H143" s="1"/>
      <c r="I143" s="1"/>
      <c r="J143" s="1"/>
      <c r="L143" s="1"/>
      <c r="M143" s="1"/>
      <c r="N143" s="1"/>
      <c r="Q143" s="245">
        <f>SUM(F142:N142)</f>
        <v>11809659.0439252</v>
      </c>
    </row>
    <row r="144" spans="2:18" ht="15" x14ac:dyDescent="0.25">
      <c r="B144" s="1"/>
      <c r="C144" s="1"/>
      <c r="D144" s="1"/>
      <c r="E144" s="1"/>
      <c r="F144" s="1"/>
      <c r="G144" s="1"/>
      <c r="H144" s="1"/>
      <c r="I144" s="1"/>
      <c r="J144" s="1"/>
      <c r="K144" s="1"/>
      <c r="L144" s="1"/>
      <c r="M144" s="1"/>
      <c r="N144" s="1"/>
      <c r="O144" s="1"/>
      <c r="P144"/>
      <c r="Q144"/>
    </row>
    <row r="145" spans="4:17" ht="15" x14ac:dyDescent="0.25">
      <c r="D145" s="234" t="s">
        <v>309</v>
      </c>
      <c r="E145" s="1"/>
      <c r="F145" s="1"/>
      <c r="G145" s="1"/>
      <c r="H145" s="1"/>
      <c r="I145" s="1"/>
      <c r="J145"/>
      <c r="K145"/>
      <c r="L145"/>
      <c r="M145"/>
      <c r="N145"/>
      <c r="O145"/>
      <c r="P145"/>
      <c r="Q145"/>
    </row>
    <row r="146" spans="4:17" ht="15" x14ac:dyDescent="0.25">
      <c r="D146" s="1" t="s">
        <v>339</v>
      </c>
      <c r="E146" s="1"/>
      <c r="F146" s="1"/>
      <c r="G146" s="1"/>
      <c r="H146" s="1"/>
      <c r="I146" s="1"/>
      <c r="J146"/>
      <c r="K146"/>
      <c r="L146"/>
      <c r="M146"/>
      <c r="N146"/>
      <c r="O146"/>
      <c r="P146"/>
      <c r="Q146"/>
    </row>
    <row r="147" spans="4:17" ht="15" x14ac:dyDescent="0.25">
      <c r="D147" s="1" t="s">
        <v>340</v>
      </c>
      <c r="E147" s="1"/>
      <c r="F147" s="1"/>
      <c r="G147" s="1"/>
      <c r="H147" s="1"/>
      <c r="I147" s="1"/>
      <c r="J147"/>
      <c r="K147"/>
      <c r="L147"/>
      <c r="M147"/>
      <c r="N147"/>
      <c r="O147"/>
      <c r="P147"/>
      <c r="Q147"/>
    </row>
    <row r="148" spans="4:17" ht="15" x14ac:dyDescent="0.25">
      <c r="E148" s="1"/>
      <c r="F148" s="1"/>
      <c r="G148" s="1"/>
      <c r="H148" s="1"/>
      <c r="I148" s="1"/>
      <c r="J148"/>
      <c r="K148"/>
      <c r="L148"/>
      <c r="M148"/>
      <c r="N148"/>
      <c r="O148"/>
      <c r="P148"/>
      <c r="Q148"/>
    </row>
    <row r="149" spans="4:17" ht="15" x14ac:dyDescent="0.25">
      <c r="E149" s="1"/>
      <c r="F149" s="1"/>
      <c r="G149" s="1"/>
      <c r="H149" s="1"/>
      <c r="I149" s="1"/>
      <c r="J149"/>
      <c r="K149"/>
      <c r="L149"/>
      <c r="M149"/>
      <c r="N149"/>
      <c r="O149"/>
      <c r="P149"/>
      <c r="Q149"/>
    </row>
    <row r="150" spans="4:17" ht="15" x14ac:dyDescent="0.25">
      <c r="D150" s="1"/>
      <c r="E150" s="1"/>
      <c r="F150" s="1"/>
      <c r="G150" s="1"/>
      <c r="H150" s="1"/>
      <c r="I150" s="1"/>
      <c r="J150"/>
      <c r="K150"/>
      <c r="L150"/>
      <c r="M150"/>
      <c r="N150"/>
      <c r="O150"/>
      <c r="P150"/>
      <c r="Q150"/>
    </row>
    <row r="152" spans="4:17" x14ac:dyDescent="0.2">
      <c r="D152" s="77" t="s">
        <v>332</v>
      </c>
    </row>
    <row r="153" spans="4:17" ht="15" x14ac:dyDescent="0.25">
      <c r="D153" s="234"/>
      <c r="E153" s="234"/>
      <c r="F153" s="234"/>
      <c r="G153" s="1"/>
      <c r="H153" s="1"/>
      <c r="I153" s="1"/>
      <c r="J153" s="1"/>
      <c r="K153" s="1"/>
      <c r="O153" s="1"/>
      <c r="P153" s="235" t="s">
        <v>312</v>
      </c>
      <c r="Q153" s="234"/>
    </row>
    <row r="154" spans="4:17" ht="15" x14ac:dyDescent="0.25">
      <c r="D154" s="1"/>
      <c r="E154" s="249" t="s">
        <v>284</v>
      </c>
      <c r="F154" s="249"/>
      <c r="G154" s="250" t="s">
        <v>285</v>
      </c>
      <c r="H154" s="250"/>
      <c r="I154" s="5" t="s">
        <v>257</v>
      </c>
      <c r="J154" s="1"/>
      <c r="K154" s="5"/>
      <c r="O154" s="1"/>
      <c r="P154" s="236" t="s">
        <v>286</v>
      </c>
      <c r="Q154" s="237"/>
    </row>
    <row r="155" spans="4:17" ht="15" x14ac:dyDescent="0.25">
      <c r="D155" s="1"/>
      <c r="E155" s="5" t="s">
        <v>287</v>
      </c>
      <c r="F155" s="234"/>
      <c r="G155" s="5" t="s">
        <v>288</v>
      </c>
      <c r="H155" s="1"/>
      <c r="I155" s="5" t="s">
        <v>289</v>
      </c>
      <c r="J155" s="1"/>
      <c r="K155" s="1"/>
      <c r="L155" s="1"/>
      <c r="M155" s="1"/>
      <c r="N155" s="1"/>
      <c r="O155" s="1"/>
      <c r="P155" s="238" t="s">
        <v>290</v>
      </c>
      <c r="Q155" s="239" t="s">
        <v>291</v>
      </c>
    </row>
    <row r="156" spans="4:17" ht="15" x14ac:dyDescent="0.25">
      <c r="D156" s="234"/>
      <c r="E156" s="223" t="s">
        <v>291</v>
      </c>
      <c r="F156" s="223" t="s">
        <v>290</v>
      </c>
      <c r="G156" s="223" t="s">
        <v>291</v>
      </c>
      <c r="H156" s="223" t="s">
        <v>290</v>
      </c>
      <c r="I156" s="223" t="s">
        <v>291</v>
      </c>
      <c r="J156" s="223" t="s">
        <v>290</v>
      </c>
      <c r="K156" s="223"/>
      <c r="L156" s="223"/>
      <c r="M156" s="223"/>
      <c r="N156" s="223"/>
      <c r="O156" s="1"/>
      <c r="P156" s="234"/>
      <c r="Q156" s="234"/>
    </row>
    <row r="157" spans="4:17" ht="15" x14ac:dyDescent="0.25">
      <c r="D157" s="234" t="s">
        <v>292</v>
      </c>
      <c r="E157" s="240">
        <v>12764.666666666666</v>
      </c>
      <c r="F157" s="240">
        <v>14040</v>
      </c>
      <c r="G157" s="228">
        <v>352329.78125</v>
      </c>
      <c r="H157" s="228">
        <v>600054.5</v>
      </c>
      <c r="I157" s="1">
        <f>(416)*2</f>
        <v>832</v>
      </c>
      <c r="J157" s="1">
        <v>656</v>
      </c>
      <c r="K157" s="257"/>
      <c r="L157" s="257"/>
      <c r="M157" s="256"/>
      <c r="N157" s="256"/>
      <c r="O157" s="1"/>
      <c r="P157" s="246">
        <v>19.95</v>
      </c>
      <c r="Q157" s="246">
        <v>17.87</v>
      </c>
    </row>
    <row r="158" spans="4:17" ht="15" x14ac:dyDescent="0.25">
      <c r="D158" s="234" t="s">
        <v>293</v>
      </c>
      <c r="E158" s="240">
        <v>11448</v>
      </c>
      <c r="F158" s="240">
        <v>12128</v>
      </c>
      <c r="G158" s="228">
        <v>170477.90625</v>
      </c>
      <c r="H158" s="228">
        <v>441937.59375</v>
      </c>
      <c r="I158" s="1">
        <v>768</v>
      </c>
      <c r="J158" s="1">
        <v>576</v>
      </c>
      <c r="K158" s="257"/>
      <c r="L158" s="257"/>
      <c r="M158" s="256"/>
      <c r="N158" s="256"/>
      <c r="O158" s="1"/>
      <c r="P158" s="246">
        <v>19.5</v>
      </c>
      <c r="Q158" s="246">
        <v>17</v>
      </c>
    </row>
    <row r="159" spans="4:17" ht="15" x14ac:dyDescent="0.25">
      <c r="D159" s="234" t="s">
        <v>294</v>
      </c>
      <c r="E159" s="240">
        <v>12453.25</v>
      </c>
      <c r="F159" s="240">
        <v>14976</v>
      </c>
      <c r="G159" s="228">
        <v>247892.09375</v>
      </c>
      <c r="H159" s="228">
        <v>396834.90625</v>
      </c>
      <c r="I159" s="1">
        <v>832</v>
      </c>
      <c r="J159" s="1">
        <v>654</v>
      </c>
      <c r="K159" s="257"/>
      <c r="L159" s="257"/>
      <c r="M159" s="256"/>
      <c r="N159" s="256"/>
      <c r="O159" s="1"/>
      <c r="P159" s="246">
        <v>16.649999999999999</v>
      </c>
      <c r="Q159" s="246">
        <v>13.5</v>
      </c>
    </row>
    <row r="160" spans="4:17" ht="15" x14ac:dyDescent="0.25">
      <c r="D160" s="234" t="s">
        <v>295</v>
      </c>
      <c r="E160" s="240">
        <v>9880</v>
      </c>
      <c r="F160" s="240">
        <v>12826.666666666666</v>
      </c>
      <c r="G160" s="228">
        <v>326584</v>
      </c>
      <c r="H160" s="228">
        <v>475056</v>
      </c>
      <c r="I160" s="1">
        <v>832</v>
      </c>
      <c r="J160" s="1">
        <v>608</v>
      </c>
      <c r="K160" s="257"/>
      <c r="L160" s="257"/>
      <c r="M160" s="256"/>
      <c r="N160" s="256"/>
      <c r="O160" s="1"/>
      <c r="P160" s="246">
        <v>15.92</v>
      </c>
      <c r="Q160" s="246">
        <v>9.2100000000000009</v>
      </c>
    </row>
    <row r="161" spans="4:17" ht="15" x14ac:dyDescent="0.25">
      <c r="D161" s="234" t="s">
        <v>296</v>
      </c>
      <c r="E161" s="240">
        <v>15580</v>
      </c>
      <c r="F161" s="240">
        <v>19066.666666666668</v>
      </c>
      <c r="G161" s="228">
        <v>416529.90625</v>
      </c>
      <c r="H161" s="228">
        <v>500356.0625</v>
      </c>
      <c r="I161" s="1">
        <v>800</v>
      </c>
      <c r="J161" s="1">
        <v>688</v>
      </c>
      <c r="K161" s="257"/>
      <c r="L161" s="257"/>
      <c r="M161" s="256"/>
      <c r="N161" s="256"/>
      <c r="O161" s="1"/>
      <c r="P161" s="246">
        <v>16.2</v>
      </c>
      <c r="Q161" s="246">
        <v>9.16</v>
      </c>
    </row>
    <row r="162" spans="4:17" ht="15" x14ac:dyDescent="0.25">
      <c r="D162" s="234" t="s">
        <v>297</v>
      </c>
      <c r="E162" s="240">
        <v>16186.666666666668</v>
      </c>
      <c r="F162" s="240">
        <v>17100</v>
      </c>
      <c r="G162" s="228">
        <v>397086.25</v>
      </c>
      <c r="H162" s="228">
        <v>465157.84375</v>
      </c>
      <c r="I162" s="1">
        <v>832</v>
      </c>
      <c r="J162" s="1">
        <v>608</v>
      </c>
      <c r="K162" s="257"/>
      <c r="L162" s="257"/>
      <c r="M162" s="256"/>
      <c r="N162" s="256"/>
      <c r="O162" s="1"/>
      <c r="P162" s="246">
        <v>16.329999999999998</v>
      </c>
      <c r="Q162" s="246">
        <v>9.09</v>
      </c>
    </row>
    <row r="163" spans="4:17" ht="15" x14ac:dyDescent="0.25">
      <c r="D163" s="234" t="s">
        <v>298</v>
      </c>
      <c r="E163" s="240">
        <v>16161.454545454546</v>
      </c>
      <c r="F163" s="240">
        <v>15429.818181818184</v>
      </c>
      <c r="G163" s="228">
        <v>380562.6875</v>
      </c>
      <c r="H163" s="228">
        <v>475179.15625</v>
      </c>
      <c r="I163" s="1">
        <v>832</v>
      </c>
      <c r="J163" s="1">
        <v>656</v>
      </c>
      <c r="K163" s="257"/>
      <c r="L163" s="257"/>
      <c r="M163" s="256"/>
      <c r="N163" s="256"/>
      <c r="O163" s="1"/>
      <c r="P163" s="246">
        <v>24.83</v>
      </c>
      <c r="Q163" s="246">
        <v>16.78</v>
      </c>
    </row>
    <row r="164" spans="4:17" ht="15" x14ac:dyDescent="0.25">
      <c r="D164" s="234" t="s">
        <v>299</v>
      </c>
      <c r="E164" s="240">
        <v>16507.636363636364</v>
      </c>
      <c r="F164" s="240">
        <v>16219.636363636364</v>
      </c>
      <c r="G164" s="228">
        <v>205534</v>
      </c>
      <c r="H164" s="228">
        <v>515525</v>
      </c>
      <c r="I164" s="1">
        <v>832</v>
      </c>
      <c r="J164" s="1">
        <v>656</v>
      </c>
      <c r="K164" s="257"/>
      <c r="L164" s="257"/>
      <c r="M164" s="256"/>
      <c r="N164" s="256"/>
      <c r="O164" s="1"/>
      <c r="P164" s="246">
        <v>25.07</v>
      </c>
      <c r="Q164" s="246">
        <v>18.82</v>
      </c>
    </row>
    <row r="165" spans="4:17" ht="15" x14ac:dyDescent="0.25">
      <c r="D165" s="234" t="s">
        <v>300</v>
      </c>
      <c r="E165" s="240">
        <v>16250.18181818182</v>
      </c>
      <c r="F165" s="240">
        <v>11310.545454545454</v>
      </c>
      <c r="G165" s="228">
        <v>121125.2890625</v>
      </c>
      <c r="H165" s="228">
        <v>347459.21875</v>
      </c>
      <c r="I165" s="1">
        <v>800</v>
      </c>
      <c r="J165" s="1">
        <v>640</v>
      </c>
      <c r="K165" s="257"/>
      <c r="L165" s="257"/>
      <c r="M165" s="256"/>
      <c r="N165" s="256"/>
      <c r="O165" s="1"/>
      <c r="P165" s="246">
        <v>24.95</v>
      </c>
      <c r="Q165" s="246">
        <v>19.14</v>
      </c>
    </row>
    <row r="166" spans="4:17" ht="15" x14ac:dyDescent="0.25">
      <c r="D166" s="234" t="s">
        <v>301</v>
      </c>
      <c r="E166" s="240">
        <v>13772</v>
      </c>
      <c r="F166" s="240">
        <v>12960</v>
      </c>
      <c r="G166" s="228">
        <v>149467.078125</v>
      </c>
      <c r="H166" s="228">
        <v>377859.1875</v>
      </c>
      <c r="I166" s="1">
        <v>864</v>
      </c>
      <c r="J166" s="1">
        <v>626</v>
      </c>
      <c r="K166" s="257"/>
      <c r="L166" s="257"/>
      <c r="M166" s="256"/>
      <c r="N166" s="256"/>
      <c r="O166" s="1"/>
      <c r="P166" s="246">
        <v>24.67</v>
      </c>
      <c r="Q166" s="246">
        <v>20.79</v>
      </c>
    </row>
    <row r="167" spans="4:17" ht="15" x14ac:dyDescent="0.25">
      <c r="D167" s="234" t="s">
        <v>302</v>
      </c>
      <c r="E167" s="240">
        <v>11258.181818181818</v>
      </c>
      <c r="F167" s="240">
        <v>10545.454545454546</v>
      </c>
      <c r="G167" s="228">
        <v>307983.34375</v>
      </c>
      <c r="H167" s="228">
        <v>310956.75</v>
      </c>
      <c r="I167" s="1">
        <v>768</v>
      </c>
      <c r="J167" s="1">
        <v>672</v>
      </c>
      <c r="K167" s="257"/>
      <c r="L167" s="257"/>
      <c r="M167" s="256"/>
      <c r="N167" s="256"/>
      <c r="O167" s="1"/>
      <c r="P167" s="246">
        <v>24.83</v>
      </c>
      <c r="Q167" s="246">
        <v>21.29</v>
      </c>
    </row>
    <row r="168" spans="4:17" ht="15" x14ac:dyDescent="0.25">
      <c r="D168" s="234" t="s">
        <v>303</v>
      </c>
      <c r="E168" s="240">
        <v>11664.727272727272</v>
      </c>
      <c r="F168" s="240">
        <v>12545.454545454546</v>
      </c>
      <c r="G168" s="228">
        <v>216312.4375</v>
      </c>
      <c r="H168" s="228">
        <v>454654.34375</v>
      </c>
      <c r="I168" s="1">
        <v>832</v>
      </c>
      <c r="J168" s="1">
        <v>656</v>
      </c>
      <c r="K168" s="257"/>
      <c r="L168" s="257"/>
      <c r="M168" s="256"/>
      <c r="N168" s="256"/>
      <c r="O168" s="1"/>
      <c r="P168" s="246">
        <v>24.9</v>
      </c>
      <c r="Q168" s="246">
        <v>21.89</v>
      </c>
    </row>
    <row r="169" spans="4:17" ht="15" x14ac:dyDescent="0.25">
      <c r="D169" s="234"/>
      <c r="E169" s="241"/>
      <c r="F169" s="241"/>
      <c r="G169" s="234"/>
      <c r="H169" s="1"/>
      <c r="I169" s="234"/>
      <c r="J169" s="1"/>
      <c r="K169" s="1"/>
      <c r="O169" s="1"/>
      <c r="P169" s="1"/>
      <c r="Q169" s="1"/>
    </row>
    <row r="170" spans="4:17" ht="15" x14ac:dyDescent="0.25">
      <c r="D170" s="234" t="s">
        <v>335</v>
      </c>
      <c r="E170" s="241"/>
      <c r="F170" s="241">
        <f>SUM(E157:F168)</f>
        <v>333075.00757575751</v>
      </c>
      <c r="G170"/>
      <c r="H170" s="241">
        <f>SUM(G157:H168)</f>
        <v>8652915.3359375</v>
      </c>
      <c r="I170" s="234"/>
      <c r="J170" s="241">
        <f>SUM(I157:J168)</f>
        <v>17520</v>
      </c>
      <c r="K170" s="1"/>
      <c r="L170" s="241"/>
      <c r="N170" s="241"/>
      <c r="O170" s="1"/>
      <c r="P170" s="1"/>
      <c r="Q170" s="1"/>
    </row>
    <row r="171" spans="4:17" ht="15" x14ac:dyDescent="0.25">
      <c r="D171" s="234" t="s">
        <v>305</v>
      </c>
      <c r="E171"/>
      <c r="F171" s="242">
        <f>(SUMPRODUCT(F157:F168,P157:P168)+SUMPRODUCT(E157:E168,Q157:Q168))/F170</f>
        <v>18.524614421981255</v>
      </c>
      <c r="G171" s="1"/>
      <c r="H171" s="242">
        <f>(SUMPRODUCT(H157:H168,$P157:$P168)+SUMPRODUCT(G157:G168,$Q157:$Q168))/H170</f>
        <v>18.74073282326361</v>
      </c>
      <c r="I171"/>
      <c r="J171" s="242">
        <f>(SUMPRODUCT(J157:J168,$P157:$P168)+SUMPRODUCT(I157:I168,$Q157:$Q168))/J170</f>
        <v>18.395792237442922</v>
      </c>
      <c r="K171" s="1"/>
      <c r="L171" s="242"/>
      <c r="N171" s="242"/>
      <c r="O171" s="1"/>
      <c r="P171" s="1" t="s">
        <v>306</v>
      </c>
      <c r="Q171" s="1"/>
    </row>
    <row r="172" spans="4:17" ht="15" x14ac:dyDescent="0.25">
      <c r="D172" s="1" t="s">
        <v>307</v>
      </c>
      <c r="E172" s="1"/>
      <c r="F172" s="243">
        <f>E92</f>
        <v>176400</v>
      </c>
      <c r="G172" s="1"/>
      <c r="H172" s="244">
        <f>G92</f>
        <v>3205</v>
      </c>
      <c r="I172" s="1"/>
      <c r="J172" s="244">
        <f>H92</f>
        <v>17520</v>
      </c>
      <c r="K172" s="1"/>
      <c r="L172" s="244"/>
      <c r="M172" s="1"/>
      <c r="N172" s="244"/>
      <c r="O172" s="1"/>
    </row>
    <row r="173" spans="4:17" x14ac:dyDescent="0.2">
      <c r="D173" s="1"/>
      <c r="E173" s="1"/>
      <c r="F173" s="1"/>
      <c r="G173" s="1"/>
      <c r="H173" s="1"/>
      <c r="I173" s="1"/>
      <c r="J173" s="1"/>
      <c r="K173" s="1"/>
      <c r="L173" s="1"/>
      <c r="M173" s="1"/>
      <c r="N173" s="1"/>
      <c r="O173" s="1"/>
    </row>
    <row r="174" spans="4:17" x14ac:dyDescent="0.2">
      <c r="D174" s="1" t="s">
        <v>325</v>
      </c>
      <c r="E174" s="1"/>
      <c r="F174" s="245">
        <f>F171*F172</f>
        <v>3267741.9840374934</v>
      </c>
      <c r="G174" s="1"/>
      <c r="H174" s="245">
        <f>H171*H172</f>
        <v>60064.048698559869</v>
      </c>
      <c r="I174" s="1"/>
      <c r="J174" s="245">
        <f>J171*J172</f>
        <v>322294.28000000003</v>
      </c>
      <c r="K174" s="1"/>
      <c r="L174" s="245"/>
      <c r="M174" s="1"/>
      <c r="N174" s="245"/>
      <c r="O174" s="1"/>
    </row>
    <row r="175" spans="4:17" x14ac:dyDescent="0.2">
      <c r="D175" s="1" t="s">
        <v>308</v>
      </c>
      <c r="E175" s="1"/>
      <c r="F175" s="1"/>
      <c r="G175" s="1"/>
      <c r="H175" s="1"/>
      <c r="I175" s="1"/>
      <c r="J175" s="1"/>
      <c r="L175" s="1"/>
      <c r="M175" s="1"/>
      <c r="N175" s="1"/>
      <c r="O175" s="1"/>
      <c r="Q175" s="245">
        <f>SUM(F174:J174)</f>
        <v>3650100.312736053</v>
      </c>
    </row>
    <row r="176" spans="4:17" x14ac:dyDescent="0.2">
      <c r="D176" s="1"/>
      <c r="E176" s="1"/>
      <c r="F176" s="1"/>
      <c r="G176" s="1"/>
      <c r="H176" s="1"/>
      <c r="I176" s="1"/>
      <c r="J176" s="1"/>
      <c r="K176" s="1"/>
      <c r="L176" s="1"/>
      <c r="M176" s="1"/>
      <c r="N176" s="1"/>
      <c r="O176" s="1"/>
    </row>
    <row r="177" spans="4:15" ht="15" x14ac:dyDescent="0.25">
      <c r="D177" s="234" t="s">
        <v>309</v>
      </c>
      <c r="E177" s="1"/>
      <c r="F177" s="1"/>
      <c r="G177" s="1"/>
      <c r="H177" s="1"/>
      <c r="I177" s="1"/>
      <c r="J177"/>
      <c r="K177"/>
      <c r="L177"/>
      <c r="M177"/>
      <c r="N177"/>
      <c r="O177"/>
    </row>
    <row r="178" spans="4:15" ht="15" x14ac:dyDescent="0.25">
      <c r="D178" s="1" t="s">
        <v>334</v>
      </c>
      <c r="E178" s="1"/>
      <c r="F178" s="1"/>
      <c r="G178" s="1"/>
      <c r="H178" s="1"/>
      <c r="I178" s="1"/>
      <c r="J178"/>
      <c r="K178"/>
      <c r="L178"/>
      <c r="M178"/>
      <c r="N178"/>
      <c r="O178"/>
    </row>
    <row r="179" spans="4:15" ht="15" x14ac:dyDescent="0.25">
      <c r="D179" s="1" t="s">
        <v>310</v>
      </c>
      <c r="E179" s="1"/>
      <c r="F179" s="1"/>
      <c r="G179" s="1"/>
      <c r="H179" s="1"/>
      <c r="I179" s="1"/>
      <c r="J179"/>
      <c r="K179"/>
      <c r="L179"/>
      <c r="M179"/>
      <c r="N179"/>
      <c r="O179"/>
    </row>
  </sheetData>
  <mergeCells count="29">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 ref="F9:H9"/>
    <mergeCell ref="F10:H10"/>
    <mergeCell ref="F11:H11"/>
    <mergeCell ref="F12:H12"/>
    <mergeCell ref="F13:H13"/>
    <mergeCell ref="F19:H19"/>
    <mergeCell ref="F20:H20"/>
    <mergeCell ref="F21:H21"/>
    <mergeCell ref="F14:H14"/>
    <mergeCell ref="F15:H15"/>
    <mergeCell ref="F16:H16"/>
    <mergeCell ref="F17:H17"/>
    <mergeCell ref="F18:H18"/>
  </mergeCells>
  <pageMargins left="0.7" right="0.7" top="0.75" bottom="0.75" header="0.3" footer="0.3"/>
  <pageSetup scale="79"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5" x14ac:dyDescent="0.25"/>
  <cols>
    <col min="1" max="1" width="36.140625" bestFit="1" customWidth="1"/>
    <col min="3" max="3" width="36.140625" bestFit="1" customWidth="1"/>
    <col min="12" max="12" width="10.5703125" customWidth="1"/>
  </cols>
  <sheetData>
    <row r="1" spans="1:86" x14ac:dyDescent="0.25">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x14ac:dyDescent="0.25">
      <c r="A2" t="str">
        <f>REN_Utility_Name</f>
        <v>Seattle City Light</v>
      </c>
      <c r="B2">
        <f>+CON_2014_Agriculture_Expend</f>
        <v>0</v>
      </c>
      <c r="C2">
        <f>+CON_2014_Agriculture_MWH</f>
        <v>0</v>
      </c>
      <c r="D2">
        <f>+CON_2014_Commercial_Expend</f>
        <v>18664979.91</v>
      </c>
      <c r="E2">
        <f>+CON_2014_Commercial_MWH</f>
        <v>58674.448711680001</v>
      </c>
      <c r="F2">
        <f>+CON_2014_Distribution_Expend</f>
        <v>0</v>
      </c>
      <c r="G2">
        <f>+CON_2014_Distribution_MWH</f>
        <v>0</v>
      </c>
      <c r="H2">
        <f>+CON_2014_Expenditures</f>
        <v>41333602.460000001</v>
      </c>
      <c r="I2">
        <f>+CON_2014_Industrial_Expend</f>
        <v>4992831.88</v>
      </c>
      <c r="J2">
        <f>+CON_2014_Industrial_MWH</f>
        <v>27751.679892480002</v>
      </c>
      <c r="K2">
        <f>+CON_2014_MWH</f>
        <v>186515.91027231998</v>
      </c>
      <c r="L2">
        <f>+CON_2014_NEEA_Expend</f>
        <v>1631620</v>
      </c>
      <c r="M2">
        <f>+CON_2014_NEEA_MWH</f>
        <v>47975.736668159996</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0</v>
      </c>
      <c r="U2">
        <f>+CON_2014_Program2_Expend</f>
        <v>0</v>
      </c>
      <c r="V2">
        <f>+CON_2014_Residential_Expend</f>
        <v>16044170.67</v>
      </c>
      <c r="W2">
        <f>+CON_2014_Residential_MWH</f>
        <v>52114.044999999998</v>
      </c>
      <c r="X2">
        <f>+CON_2015_Agriculture_Expend</f>
        <v>0</v>
      </c>
      <c r="Y2">
        <f>+CON_2015_Agriculture_MWH</f>
        <v>0</v>
      </c>
      <c r="Z2">
        <f>+CON_2015_Commercial_Expend</f>
        <v>17604083.391700409</v>
      </c>
      <c r="AA2">
        <f>+CON_2015_Commercial_MWH</f>
        <v>53044.839686860811</v>
      </c>
      <c r="AB2">
        <f>+CON_2015_Distribution_Expend</f>
        <v>0</v>
      </c>
      <c r="AC2">
        <f>+CON_2015_Distribution_MWH</f>
        <v>0</v>
      </c>
      <c r="AD2">
        <f>+CON_2015_Expenditures</f>
        <v>38993912.619999997</v>
      </c>
      <c r="AE2">
        <f>+CON_2015_Industrial_Expend</f>
        <v>4741373.3141232301</v>
      </c>
      <c r="AF2">
        <f>+CON_2015_Industrial_MWH</f>
        <v>16043.68292352</v>
      </c>
      <c r="AG2">
        <f>+CON_2015_MWH</f>
        <v>160556.6453020928</v>
      </c>
      <c r="AH2">
        <f>+CON_2015_NEEA_Expend</f>
        <v>864086</v>
      </c>
      <c r="AI2">
        <f>+CON_2015_NEEA_MWH</f>
        <v>43898.629032959994</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0</v>
      </c>
      <c r="AQ2">
        <f>+CON_2015_Program2_Expend</f>
        <v>0</v>
      </c>
      <c r="AR2">
        <f>+CON_2015_Residential_Expend</f>
        <v>15784369.914176358</v>
      </c>
      <c r="AS2">
        <f>+CON_2015_Residential_MWH</f>
        <v>47569.493658751999</v>
      </c>
      <c r="AT2" t="str">
        <f>+CON_Contact_Name</f>
        <v>Brendan O'Donnell/Customer Energy Solutions</v>
      </c>
      <c r="AU2" t="str">
        <f>+CON_Email</f>
        <v>Brendan.Odonnell@seattle.gov</v>
      </c>
      <c r="AV2" t="str">
        <f>+CON_Phone</f>
        <v>206-733-9265</v>
      </c>
      <c r="AW2">
        <f>+CON_Potential_2015_2023</f>
        <v>1037184</v>
      </c>
      <c r="AX2">
        <f>+CON_Potential_2016_2025</f>
        <v>1122156</v>
      </c>
      <c r="AY2">
        <f>+CON_Report_Date</f>
        <v>42513</v>
      </c>
      <c r="AZ2">
        <f>+CON_Target_2014_2015</f>
        <v>207437</v>
      </c>
      <c r="BA2">
        <f>+CON_Target_2016_2017</f>
        <v>224431</v>
      </c>
      <c r="BB2" t="str">
        <f>+CON_Utility_Name</f>
        <v>Seattle City Light</v>
      </c>
      <c r="BC2" t="str">
        <f>+REN_Contact_Name</f>
        <v>Robert W. Cromwell, Jr./Regional Policy and Contracts</v>
      </c>
      <c r="BD2" t="str">
        <f>+REN_Email</f>
        <v>Robert.Cromwell@Seattle.gov</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3205</v>
      </c>
      <c r="BN2">
        <f>+REN_ERR_Wind</f>
        <v>0</v>
      </c>
      <c r="BO2">
        <f>+REN_ERR_WOT</f>
        <v>0</v>
      </c>
      <c r="BP2">
        <f>+REN_Expenditure_Amount_2016</f>
        <v>28447732.725646157</v>
      </c>
      <c r="BQ2">
        <f>+REN_Expenditure_Percent_2016</f>
        <v>3.5088554387827833E-2</v>
      </c>
      <c r="BR2">
        <f>+REN_Load_2014</f>
        <v>9340584</v>
      </c>
      <c r="BS2">
        <f>+REN_Load_2015</f>
        <v>9157494</v>
      </c>
      <c r="BT2">
        <f>+REN_REC_ApprenticeLabor</f>
        <v>0</v>
      </c>
      <c r="BU2">
        <f>+REN_REC_Biodiesel</f>
        <v>0</v>
      </c>
      <c r="BV2">
        <f>+REN_REC_Biomass</f>
        <v>25407</v>
      </c>
      <c r="BW2">
        <f>+REN_REC_DistributedGeneration</f>
        <v>17500</v>
      </c>
      <c r="BX2">
        <f>+REN_REC_Geothermal</f>
        <v>75357</v>
      </c>
      <c r="BY2">
        <f>+REN_REC_LandfillGas</f>
        <v>90187</v>
      </c>
      <c r="BZ2">
        <f>REN_REC_QBE</f>
        <v>0</v>
      </c>
      <c r="CA2">
        <f>+REN_REC_SewageGas</f>
        <v>17500</v>
      </c>
      <c r="CB2">
        <f>+REN_REC_Solar</f>
        <v>0</v>
      </c>
      <c r="CC2">
        <f>+REN_REC_Wind</f>
        <v>603259</v>
      </c>
      <c r="CD2">
        <f>+REN_REC_WOT</f>
        <v>0</v>
      </c>
      <c r="CE2">
        <f>+REN_RetailRevenueRequirement_2016</f>
        <v>810741087</v>
      </c>
      <c r="CF2">
        <f>+REN_Submittal_Date</f>
        <v>42521</v>
      </c>
      <c r="CG2">
        <f>+REN_Total_2016</f>
        <v>832415</v>
      </c>
      <c r="CH2" t="str">
        <f>+REN_Utility_Name</f>
        <v>Seattle City Light</v>
      </c>
    </row>
    <row r="6" spans="1:86" x14ac:dyDescent="0.25">
      <c r="A6" s="14" t="s">
        <v>14</v>
      </c>
    </row>
    <row r="7" spans="1:86" x14ac:dyDescent="0.25">
      <c r="A7" s="14" t="s">
        <v>15</v>
      </c>
    </row>
    <row r="8" spans="1:86" x14ac:dyDescent="0.25">
      <c r="A8" s="14" t="s">
        <v>173</v>
      </c>
    </row>
    <row r="9" spans="1:86" x14ac:dyDescent="0.25">
      <c r="A9" s="14" t="s">
        <v>176</v>
      </c>
    </row>
    <row r="10" spans="1:86" x14ac:dyDescent="0.25">
      <c r="A10" s="14" t="s">
        <v>177</v>
      </c>
    </row>
    <row r="11" spans="1:86" x14ac:dyDescent="0.25">
      <c r="A11" s="14" t="s">
        <v>174</v>
      </c>
    </row>
    <row r="12" spans="1:86" x14ac:dyDescent="0.25">
      <c r="A12" s="14" t="s">
        <v>16</v>
      </c>
    </row>
    <row r="13" spans="1:86" x14ac:dyDescent="0.25">
      <c r="A13" s="14" t="s">
        <v>23</v>
      </c>
    </row>
    <row r="14" spans="1:86" x14ac:dyDescent="0.25">
      <c r="A14" s="14" t="s">
        <v>17</v>
      </c>
    </row>
    <row r="15" spans="1:86" x14ac:dyDescent="0.25">
      <c r="A15" s="14" t="s">
        <v>172</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1232cac0a27544407118dd62e18a60c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9BE70BF-8544-467A-B785-6047FAAE3D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B5134EF7-F04D-4218-953F-7A835D8EE7C1}">
  <ds:schemaRefs>
    <ds:schemaRef ds:uri="http://purl.org/dc/elements/1.1/"/>
    <ds:schemaRef ds:uri="http://www.w3.org/XML/1998/namespace"/>
    <ds:schemaRef ds:uri="http://schemas.microsoft.com/sharepoint/v3"/>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Eric Espenhorst</cp:lastModifiedBy>
  <cp:lastPrinted>2016-03-30T15:46:38Z</cp:lastPrinted>
  <dcterms:created xsi:type="dcterms:W3CDTF">2012-03-20T21:01:26Z</dcterms:created>
  <dcterms:modified xsi:type="dcterms:W3CDTF">2016-05-31T20:56:32Z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y fmtid="{D5CDD505-2E9C-101B-9397-08002B2CF9AE}" pid="9" name="_SharedFileIndex">
    <vt:lpwstr/>
  </property>
</Properties>
</file>