
<file path=[Content_Types].xml><?xml version="1.0" encoding="utf-8"?>
<Types xmlns="http://schemas.openxmlformats.org/package/2006/content-types">
  <Default Extension="bin" ContentType="application/vnd.openxmlformats-officedocument.spreadsheetml.printerSettings"/>
  <Default Extension="png" ContentType="image/png"/>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omments1.xml" ContentType="application/vnd.openxmlformats-officedocument.spreadsheetml.comments+xml"/>
  <Override PartName="/xl/drawings/drawing4.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19365" yWindow="30" windowWidth="18870" windowHeight="11940" tabRatio="719" activeTab="2"/>
  </bookViews>
  <sheets>
    <sheet name="Background" sheetId="21" r:id="rId1"/>
    <sheet name="Instructions - Revise 2014" sheetId="20" r:id="rId2"/>
    <sheet name="Conservation Report" sheetId="24" r:id="rId3"/>
    <sheet name="Renewables Report" sheetId="16" r:id="rId4"/>
    <sheet name="Renewable Cost Report" sheetId="23" r:id="rId5"/>
    <sheet name="Data" sheetId="19" state="hidden" r:id="rId6"/>
  </sheets>
  <externalReferences>
    <externalReference r:id="rId7"/>
    <externalReference r:id="rId8"/>
  </externalReferences>
  <definedNames>
    <definedName name="CON_2014_Agriculture_Expend" localSheetId="2">'Conservation Report'!$D$22</definedName>
    <definedName name="CON_2014_Agriculture_Expend">#REF!</definedName>
    <definedName name="CON_2014_Agriculture_MWH" localSheetId="2">'Conservation Report'!$C$22</definedName>
    <definedName name="CON_2014_Agriculture_MWH">#REF!</definedName>
    <definedName name="CON_2014_Commercial_Expend" localSheetId="2">'Conservation Report'!$D$20</definedName>
    <definedName name="CON_2014_Commercial_Expend">#REF!</definedName>
    <definedName name="CON_2014_Commercial_MWH" localSheetId="2">'Conservation Report'!$C$20</definedName>
    <definedName name="CON_2014_Commercial_MWH">#REF!</definedName>
    <definedName name="CON_2014_Distribution_Expend" localSheetId="2">'Conservation Report'!$D$23</definedName>
    <definedName name="CON_2014_Distribution_Expend">#REF!</definedName>
    <definedName name="CON_2014_Distribution_MWH" localSheetId="2">'Conservation Report'!$C$23</definedName>
    <definedName name="CON_2014_Distribution_MWH">#REF!</definedName>
    <definedName name="CON_2014_Expenditures" localSheetId="2">'Conservation Report'!$D$31</definedName>
    <definedName name="CON_2014_Expenditures">#REF!</definedName>
    <definedName name="CON_2014_Industrial_Expend" localSheetId="2">'Conservation Report'!$D$21</definedName>
    <definedName name="CON_2014_Industrial_Expend">#REF!</definedName>
    <definedName name="CON_2014_Industrial_MWH" localSheetId="2">'Conservation Report'!$C$21</definedName>
    <definedName name="CON_2014_Industrial_MWH">#REF!</definedName>
    <definedName name="CON_2014_MWH" localSheetId="2">'Conservation Report'!$C$31</definedName>
    <definedName name="CON_2014_MWH">#REF!</definedName>
    <definedName name="CON_2014_NEEA_Expend" localSheetId="2">'Conservation Report'!$D$25</definedName>
    <definedName name="CON_2014_NEEA_Expend">#REF!</definedName>
    <definedName name="CON_2014_NEEA_MWH" localSheetId="2">'Conservation Report'!$C$25</definedName>
    <definedName name="CON_2014_NEEA_MWH">#REF!</definedName>
    <definedName name="CON_2014_OtherSector1_Expend" localSheetId="2">'Conservation Report'!$D$26</definedName>
    <definedName name="CON_2014_OtherSector1_Expend">#REF!</definedName>
    <definedName name="CON_2014_OtherSector1_MWH" localSheetId="2">'Conservation Report'!$C$26</definedName>
    <definedName name="CON_2014_OtherSector1_MWH">#REF!</definedName>
    <definedName name="CON_2014_OtherSector2_Expend" localSheetId="2">'Conservation Report'!$D$27</definedName>
    <definedName name="CON_2014_OtherSector2_Expend">#REF!</definedName>
    <definedName name="CON_2014_OtherSector2_MWH" localSheetId="2">'Conservation Report'!$C$27</definedName>
    <definedName name="CON_2014_OtherSector2_MWH">#REF!</definedName>
    <definedName name="CON_2014_Production_Expend" localSheetId="2">'Conservation Report'!$D$24</definedName>
    <definedName name="CON_2014_Production_Expend">#REF!</definedName>
    <definedName name="CON_2014_Production_MWH" localSheetId="2">'Conservation Report'!$C$24</definedName>
    <definedName name="CON_2014_Production_MWH">#REF!</definedName>
    <definedName name="CON_2014_Program1_Expend" localSheetId="2">'Conservation Report'!$D$29</definedName>
    <definedName name="CON_2014_Program1_Expend">#REF!</definedName>
    <definedName name="CON_2014_Program2_Expend" localSheetId="2">'Conservation Report'!$D$30</definedName>
    <definedName name="CON_2014_Program2_Expend">#REF!</definedName>
    <definedName name="CON_2014_Residential_Expend" localSheetId="2">'Conservation Report'!$D$19</definedName>
    <definedName name="CON_2014_Residential_Expend">#REF!</definedName>
    <definedName name="CON_2014_Residential_MWH" localSheetId="2">'Conservation Report'!$C$19</definedName>
    <definedName name="CON_2014_Residential_MWH">#REF!</definedName>
    <definedName name="CON_2015_Agriculture_Expend" localSheetId="2">'Conservation Report'!$G$22</definedName>
    <definedName name="CON_2015_Agriculture_Expend">#REF!</definedName>
    <definedName name="CON_2015_Agriculture_MWH" localSheetId="2">'Conservation Report'!$F$22</definedName>
    <definedName name="CON_2015_Agriculture_MWH">#REF!</definedName>
    <definedName name="CON_2015_Commercial_Expend" localSheetId="2">'Conservation Report'!$G$20</definedName>
    <definedName name="CON_2015_Commercial_Expend">#REF!</definedName>
    <definedName name="CON_2015_Commercial_MWH" localSheetId="2">'Conservation Report'!$F$20</definedName>
    <definedName name="CON_2015_Commercial_MWH">#REF!</definedName>
    <definedName name="CON_2015_Distribution_Expend" localSheetId="2">'Conservation Report'!$G$23</definedName>
    <definedName name="CON_2015_Distribution_Expend">#REF!</definedName>
    <definedName name="CON_2015_Distribution_MWH" localSheetId="2">'Conservation Report'!$F$23</definedName>
    <definedName name="CON_2015_Distribution_MWH">#REF!</definedName>
    <definedName name="CON_2015_Expenditures" localSheetId="2">'Conservation Report'!$G$31</definedName>
    <definedName name="CON_2015_Expenditures">#REF!</definedName>
    <definedName name="CON_2015_Industrial_Expend" localSheetId="2">'Conservation Report'!$G$21</definedName>
    <definedName name="CON_2015_Industrial_Expend">#REF!</definedName>
    <definedName name="CON_2015_Industrial_MWH" localSheetId="2">'Conservation Report'!$F$21</definedName>
    <definedName name="CON_2015_Industrial_MWH">#REF!</definedName>
    <definedName name="CON_2015_MWH" localSheetId="2">'Conservation Report'!$F$31</definedName>
    <definedName name="CON_2015_MWH">#REF!</definedName>
    <definedName name="CON_2015_NEEA_Expend" localSheetId="2">'Conservation Report'!$G$25</definedName>
    <definedName name="CON_2015_NEEA_Expend">#REF!</definedName>
    <definedName name="CON_2015_NEEA_MWH" localSheetId="2">'Conservation Report'!$F$25</definedName>
    <definedName name="CON_2015_NEEA_MWH">#REF!</definedName>
    <definedName name="CON_2015_OtherSector1_Expend" localSheetId="2">'Conservation Report'!$G$26</definedName>
    <definedName name="CON_2015_OtherSector1_Expend">#REF!</definedName>
    <definedName name="CON_2015_OtherSector1_MWH" localSheetId="2">'Conservation Report'!$F$26</definedName>
    <definedName name="CON_2015_OtherSector1_MWH">#REF!</definedName>
    <definedName name="CON_2015_OtherSector2_Expend" localSheetId="2">'Conservation Report'!$G$27</definedName>
    <definedName name="CON_2015_OtherSector2_Expend">#REF!</definedName>
    <definedName name="CON_2015_OtherSector2_MWH" localSheetId="2">'Conservation Report'!$F$27</definedName>
    <definedName name="CON_2015_OtherSector2_MWH">#REF!</definedName>
    <definedName name="CON_2015_Production_Expend" localSheetId="2">'Conservation Report'!$G$24</definedName>
    <definedName name="CON_2015_Production_Expend">#REF!</definedName>
    <definedName name="CON_2015_Production_MWH" localSheetId="2">'Conservation Report'!$F$24</definedName>
    <definedName name="CON_2015_Production_MWH">#REF!</definedName>
    <definedName name="CON_2015_Program1_Expend" localSheetId="2">'Conservation Report'!$G$29</definedName>
    <definedName name="CON_2015_Program1_Expend">#REF!</definedName>
    <definedName name="CON_2015_Program2_Expend" localSheetId="2">'Conservation Report'!$G$30</definedName>
    <definedName name="CON_2015_Program2_Expend">#REF!</definedName>
    <definedName name="CON_2015_Residential_Expend" localSheetId="2">'Conservation Report'!$G$19</definedName>
    <definedName name="CON_2015_Residential_Expend">#REF!</definedName>
    <definedName name="CON_2015_Residential_MWH" localSheetId="2">'Conservation Report'!$F$19</definedName>
    <definedName name="CON_2015_Residential_MWH">#REF!</definedName>
    <definedName name="CON_Contact_Name" localSheetId="2">'Conservation Report'!$B$7</definedName>
    <definedName name="CON_Contact_Name">#REF!</definedName>
    <definedName name="CON_Email" localSheetId="2">'Conservation Report'!$B$9</definedName>
    <definedName name="CON_Email">#REF!</definedName>
    <definedName name="CON_Phone" localSheetId="2">'Conservation Report'!$B$8</definedName>
    <definedName name="CON_Phone">#REF!</definedName>
    <definedName name="CON_Potential_2015_2023" localSheetId="2">'Conservation Report'!$A$14</definedName>
    <definedName name="CON_Potential_2015_2023">#REF!</definedName>
    <definedName name="CON_Potential_2016_2025" localSheetId="2">'Conservation Report'!$C$14</definedName>
    <definedName name="CON_Potential_2016_2025">#REF!</definedName>
    <definedName name="CON_Report_Date" localSheetId="2">'Conservation Report'!$B$6</definedName>
    <definedName name="CON_Report_Date">#REF!</definedName>
    <definedName name="CON_Target_2014_2015" localSheetId="2">'Conservation Report'!$B$14</definedName>
    <definedName name="CON_Target_2014_2015">#REF!</definedName>
    <definedName name="CON_Target_2016_2017" localSheetId="2">'Conservation Report'!$D$14</definedName>
    <definedName name="CON_Target_2016_2017">#REF!</definedName>
    <definedName name="CON_Utility_Name" localSheetId="0">'[1]Conservation Report'!$C$3:$E$3</definedName>
    <definedName name="CON_Utility_Name" localSheetId="2">'Conservation Report'!$B$5</definedName>
    <definedName name="CON_Utility_Name">#REF!</definedName>
    <definedName name="_xlnm.Print_Area" localSheetId="2">'Conservation Report'!$A$3:$I$37</definedName>
    <definedName name="_xlnm.Print_Area" localSheetId="4">'Renewable Cost Report'!$B$3:$L$61</definedName>
    <definedName name="_xlnm.Print_Area" localSheetId="3">'Renewables Report'!$A$3:$N$115</definedName>
    <definedName name="REN_Contact_Name" localSheetId="2">'[2]Renewables Report'!$B$7</definedName>
    <definedName name="REN_Contact_Name">'Renewables Report'!$B$7</definedName>
    <definedName name="REN_Email" localSheetId="2">'[2]Renewables Report'!$B$9</definedName>
    <definedName name="REN_Email">'Renewables Report'!$B$9</definedName>
    <definedName name="REN_ERR_ApprenticeLabor" localSheetId="2">'[2]Renewables Report'!$M$18</definedName>
    <definedName name="REN_ERR_ApprenticeLabor">'Renewables Report'!$M$18</definedName>
    <definedName name="REN_ERR_Biodiesel" localSheetId="2">'[2]Renewables Report'!$J$18</definedName>
    <definedName name="REN_ERR_Biodiesel">'Renewables Report'!$J$18</definedName>
    <definedName name="REN_ERR_Biomass" localSheetId="2">'[2]Renewables Report'!$K$18</definedName>
    <definedName name="REN_ERR_Biomass">'Renewables Report'!$K$18</definedName>
    <definedName name="REN_ERR_Geothermal" localSheetId="2">'[2]Renewables Report'!$F$18</definedName>
    <definedName name="REN_ERR_Geothermal">'Renewables Report'!$F$18</definedName>
    <definedName name="REN_ERR_LandfillGas" localSheetId="2">'[2]Renewables Report'!$G$18</definedName>
    <definedName name="REN_ERR_LandfillGas">'Renewables Report'!$G$18</definedName>
    <definedName name="REN_ERR_QBE" localSheetId="2">'[2]Renewables Report'!$L$18</definedName>
    <definedName name="REN_ERR_QBE">'Renewables Report'!$L$18</definedName>
    <definedName name="REN_ERR_SewageGas" localSheetId="2">'[2]Renewables Report'!$I$18</definedName>
    <definedName name="REN_ERR_SewageGas">'Renewables Report'!$I$18</definedName>
    <definedName name="REN_ERR_Solar" localSheetId="2">'[2]Renewables Report'!$E$18</definedName>
    <definedName name="REN_ERR_Solar">'Renewables Report'!$E$18</definedName>
    <definedName name="REN_ERR_Water" localSheetId="2">'[2]Renewables Report'!$C$18</definedName>
    <definedName name="REN_ERR_Water">'Renewables Report'!$C$18</definedName>
    <definedName name="REN_ERR_Wind" localSheetId="2">'[2]Renewables Report'!$D$18</definedName>
    <definedName name="REN_ERR_Wind">'Renewables Report'!$D$18</definedName>
    <definedName name="REN_ERR_WOT" localSheetId="2">'[2]Renewables Report'!$H$18</definedName>
    <definedName name="REN_ERR_WOT">'Renewables Report'!$H$18</definedName>
    <definedName name="REN_Expenditure_Amount_2016" localSheetId="2">'[2]Renewables Report'!$M$13</definedName>
    <definedName name="REN_Expenditure_Amount_2016">'Renewables Report'!$M$13</definedName>
    <definedName name="REN_Expenditure_Percent_2016" localSheetId="2">'[2]Renewables Report'!$M$15</definedName>
    <definedName name="REN_Expenditure_Percent_2016">'Renewables Report'!$M$15</definedName>
    <definedName name="REN_Load_2014" localSheetId="2">'[2]Renewables Report'!$M$5</definedName>
    <definedName name="REN_Load_2014">'Renewables Report'!$M$5</definedName>
    <definedName name="REN_Load_2015" localSheetId="2">'[2]Renewables Report'!$M$6</definedName>
    <definedName name="REN_Load_2015">'Renewables Report'!$M$6</definedName>
    <definedName name="REN_REC_ApprenticeLabor" localSheetId="2">'[2]Renewables Report'!$M$19</definedName>
    <definedName name="REN_REC_ApprenticeLabor">'Renewables Report'!$M$19</definedName>
    <definedName name="REN_REC_Biodiesel" localSheetId="2">'[2]Renewables Report'!$J$19</definedName>
    <definedName name="REN_REC_Biodiesel">'Renewables Report'!$J$19</definedName>
    <definedName name="REN_REC_Biomass" localSheetId="2">'[2]Renewables Report'!$K$19</definedName>
    <definedName name="REN_REC_Biomass">'Renewables Report'!$K$19</definedName>
    <definedName name="REN_REC_DistributedGeneration" localSheetId="2">'[2]Renewables Report'!$N$19</definedName>
    <definedName name="REN_REC_DistributedGeneration">'Renewables Report'!$N$19</definedName>
    <definedName name="REN_REC_Geothermal" localSheetId="2">'[2]Renewables Report'!$F$19</definedName>
    <definedName name="REN_REC_Geothermal">'Renewables Report'!$F$19</definedName>
    <definedName name="REN_REC_LandfillGas" localSheetId="2">'[2]Renewables Report'!$G$19</definedName>
    <definedName name="REN_REC_LandfillGas">'Renewables Report'!$G$19</definedName>
    <definedName name="REN_REC_QBE" localSheetId="2">'[2]Renewables Report'!$L$19</definedName>
    <definedName name="REN_REC_QBE">'Renewables Report'!$L$19</definedName>
    <definedName name="REN_REC_SewageGas" localSheetId="2">'[2]Renewables Report'!$I$19</definedName>
    <definedName name="REN_REC_SewageGas">'Renewables Report'!$I$19</definedName>
    <definedName name="REN_REC_Solar" localSheetId="2">'[2]Renewables Report'!$E$19</definedName>
    <definedName name="REN_REC_Solar">'Renewables Report'!$E$19</definedName>
    <definedName name="REN_REC_Wind" localSheetId="2">'[2]Renewables Report'!$D$19</definedName>
    <definedName name="REN_REC_Wind">'Renewables Report'!$D$19</definedName>
    <definedName name="REN_REC_WOT" localSheetId="2">'[2]Renewables Report'!$H$19</definedName>
    <definedName name="REN_REC_WOT">'Renewables Report'!$H$19</definedName>
    <definedName name="REN_RetailRevenueRequirement_2016" localSheetId="2">'[2]Renewables Report'!$M$14</definedName>
    <definedName name="REN_RetailRevenueRequirement_2016">'Renewables Report'!$M$14</definedName>
    <definedName name="REN_Submittal_Date" localSheetId="2">'[2]Renewables Report'!$B$6</definedName>
    <definedName name="REN_Submittal_Date">'Renewables Report'!$B$6</definedName>
    <definedName name="REN_Total_2016" localSheetId="2">'[2]Renewables Report'!$M$10</definedName>
    <definedName name="REN_Total_2016">'Renewables Report'!$M$10</definedName>
    <definedName name="REN_Utility_Name" localSheetId="2">'[2]Renewables Report'!$B$5</definedName>
    <definedName name="REN_Utility_Name">'Renewables Report'!$B$5</definedName>
    <definedName name="ResourceType" localSheetId="2">[2]Data!$A$6:$A$15</definedName>
    <definedName name="ResourceType">Data!$A$6:$A$15</definedName>
    <definedName name="ResourceType_REC">Data!$A$7:$A$15</definedName>
  </definedNames>
  <calcPr calcId="145621"/>
</workbook>
</file>

<file path=xl/calcChain.xml><?xml version="1.0" encoding="utf-8"?>
<calcChain xmlns="http://schemas.openxmlformats.org/spreadsheetml/2006/main">
  <c r="F54" i="16" l="1"/>
  <c r="B33" i="24" l="1"/>
  <c r="F31" i="24"/>
  <c r="D31" i="24"/>
  <c r="C31" i="24"/>
  <c r="G9" i="24" s="1"/>
  <c r="G29" i="24"/>
  <c r="G31" i="24" s="1"/>
  <c r="D29" i="24"/>
  <c r="I8" i="24"/>
  <c r="G8" i="24"/>
  <c r="G10" i="24" l="1"/>
  <c r="F53" i="16"/>
  <c r="F55" i="16"/>
  <c r="F56" i="16"/>
  <c r="F57" i="16"/>
  <c r="F58" i="16"/>
  <c r="F59" i="16"/>
  <c r="I68" i="16" l="1"/>
  <c r="I69" i="16"/>
  <c r="I70" i="16"/>
  <c r="I71" i="16"/>
  <c r="I72" i="16"/>
  <c r="I73" i="16"/>
  <c r="I74" i="16"/>
  <c r="I75" i="16"/>
  <c r="I76" i="16"/>
  <c r="I77" i="16"/>
  <c r="I78" i="16"/>
  <c r="I79" i="16"/>
  <c r="I80" i="16"/>
  <c r="I81" i="16"/>
  <c r="I82" i="16"/>
  <c r="I83" i="16"/>
  <c r="I84" i="16"/>
  <c r="I85" i="16"/>
  <c r="I86" i="16"/>
  <c r="I87" i="16"/>
  <c r="I88" i="16"/>
  <c r="I89" i="16"/>
  <c r="I90" i="16"/>
  <c r="I67" i="16"/>
  <c r="I66" i="16"/>
  <c r="E38" i="23"/>
  <c r="E39" i="23"/>
  <c r="E40" i="23"/>
  <c r="E41" i="23"/>
  <c r="E42" i="23"/>
  <c r="E43" i="23"/>
  <c r="E45" i="23"/>
  <c r="E46" i="23"/>
  <c r="E47" i="23"/>
  <c r="E48" i="23"/>
  <c r="E49" i="23"/>
  <c r="E50" i="23"/>
  <c r="E51" i="23"/>
  <c r="E52" i="23"/>
  <c r="E53" i="23"/>
  <c r="E54" i="23"/>
  <c r="E55" i="23"/>
  <c r="E56" i="23"/>
  <c r="E57" i="23"/>
  <c r="E58" i="23"/>
  <c r="E59" i="23"/>
  <c r="E60" i="23"/>
  <c r="E37" i="23"/>
  <c r="E36" i="23"/>
  <c r="D22" i="23"/>
  <c r="D24" i="23"/>
  <c r="D25" i="23"/>
  <c r="D26" i="23"/>
  <c r="D27" i="23"/>
  <c r="D28" i="23"/>
  <c r="H19" i="16"/>
  <c r="I19" i="16"/>
  <c r="J19" i="16"/>
  <c r="K19" i="16"/>
  <c r="L19" i="16"/>
  <c r="BZ2" i="19" s="1"/>
  <c r="H18" i="16"/>
  <c r="I18" i="16"/>
  <c r="J18" i="16"/>
  <c r="K18" i="16"/>
  <c r="L18" i="16"/>
  <c r="H90" i="16"/>
  <c r="H67" i="16"/>
  <c r="H68" i="16"/>
  <c r="H69" i="16"/>
  <c r="H70" i="16"/>
  <c r="H71" i="16"/>
  <c r="H72" i="16"/>
  <c r="H73" i="16"/>
  <c r="H74" i="16"/>
  <c r="H75" i="16"/>
  <c r="H76" i="16"/>
  <c r="H77" i="16"/>
  <c r="H78" i="16"/>
  <c r="H79" i="16"/>
  <c r="H80" i="16"/>
  <c r="H81" i="16"/>
  <c r="H82" i="16"/>
  <c r="H83" i="16"/>
  <c r="H84" i="16"/>
  <c r="H85" i="16"/>
  <c r="H86" i="16"/>
  <c r="H87" i="16"/>
  <c r="H88" i="16"/>
  <c r="H89" i="16"/>
  <c r="H66" i="16"/>
  <c r="F41" i="16"/>
  <c r="F42" i="16"/>
  <c r="F43" i="16"/>
  <c r="F44" i="16"/>
  <c r="F45" i="16"/>
  <c r="F46" i="16"/>
  <c r="F47" i="16"/>
  <c r="F48" i="16"/>
  <c r="F49" i="16"/>
  <c r="F50" i="16"/>
  <c r="F51" i="16"/>
  <c r="F52" i="16"/>
  <c r="F40" i="16"/>
  <c r="BJ2" i="19" l="1"/>
  <c r="L20" i="16"/>
  <c r="M19" i="16"/>
  <c r="N19" i="16"/>
  <c r="M18" i="16"/>
  <c r="CH2" i="19"/>
  <c r="CF2" i="19"/>
  <c r="CE2" i="19"/>
  <c r="BS2" i="19"/>
  <c r="BR2" i="19"/>
  <c r="BD2" i="19"/>
  <c r="BC2" i="19"/>
  <c r="BB2" i="19"/>
  <c r="BA2" i="19"/>
  <c r="AZ2" i="19"/>
  <c r="AY2" i="19"/>
  <c r="AX2" i="19"/>
  <c r="AW2" i="19"/>
  <c r="AV2" i="19"/>
  <c r="AU2" i="19"/>
  <c r="AT2" i="19"/>
  <c r="AS2" i="19"/>
  <c r="AR2" i="19"/>
  <c r="AQ2" i="19"/>
  <c r="AP2" i="19"/>
  <c r="AO2" i="19"/>
  <c r="AN2" i="19"/>
  <c r="AM2" i="19"/>
  <c r="AL2" i="19"/>
  <c r="AK2" i="19"/>
  <c r="AJ2" i="19"/>
  <c r="AI2" i="19"/>
  <c r="AH2" i="19"/>
  <c r="AF2" i="19"/>
  <c r="AE2" i="19"/>
  <c r="AC2" i="19"/>
  <c r="AB2" i="19"/>
  <c r="AA2" i="19"/>
  <c r="Z2" i="19"/>
  <c r="Y2" i="19"/>
  <c r="X2" i="19"/>
  <c r="W2" i="19"/>
  <c r="V2" i="19"/>
  <c r="U2" i="19"/>
  <c r="T2" i="19"/>
  <c r="S2" i="19"/>
  <c r="R2" i="19"/>
  <c r="Q2" i="19"/>
  <c r="P2" i="19"/>
  <c r="O2" i="19"/>
  <c r="N2" i="19"/>
  <c r="M2" i="19"/>
  <c r="L2" i="19"/>
  <c r="J2" i="19"/>
  <c r="I2" i="19"/>
  <c r="G2" i="19"/>
  <c r="F2" i="19"/>
  <c r="E2" i="19"/>
  <c r="D2" i="19"/>
  <c r="C2" i="19"/>
  <c r="B2" i="19"/>
  <c r="AD2" i="19" l="1"/>
  <c r="AG2" i="19"/>
  <c r="G43" i="23" l="1"/>
  <c r="G44" i="23"/>
  <c r="G45" i="23"/>
  <c r="G46" i="23"/>
  <c r="G47" i="23"/>
  <c r="G48" i="23"/>
  <c r="G49" i="23"/>
  <c r="G50" i="23"/>
  <c r="G51" i="23"/>
  <c r="G52" i="23"/>
  <c r="G53" i="23"/>
  <c r="G54" i="23"/>
  <c r="G55" i="23"/>
  <c r="G56" i="23"/>
  <c r="G57" i="23"/>
  <c r="G58" i="23"/>
  <c r="G59" i="23"/>
  <c r="G60" i="23"/>
  <c r="L28" i="23" l="1"/>
  <c r="L27" i="23"/>
  <c r="L26" i="23"/>
  <c r="L25" i="23"/>
  <c r="L24" i="23"/>
  <c r="L23" i="23"/>
  <c r="L22" i="23"/>
  <c r="L21" i="23"/>
  <c r="L20" i="23"/>
  <c r="L19" i="23"/>
  <c r="L18" i="23"/>
  <c r="D60" i="23" l="1"/>
  <c r="C60" i="23"/>
  <c r="D59" i="23"/>
  <c r="C59" i="23"/>
  <c r="D58" i="23"/>
  <c r="C58" i="23"/>
  <c r="D57" i="23"/>
  <c r="C57" i="23"/>
  <c r="D56" i="23"/>
  <c r="C56" i="23"/>
  <c r="D55" i="23"/>
  <c r="C55" i="23"/>
  <c r="D54" i="23"/>
  <c r="C54" i="23"/>
  <c r="D53" i="23"/>
  <c r="C53" i="23"/>
  <c r="D52" i="23"/>
  <c r="C52" i="23"/>
  <c r="D51" i="23"/>
  <c r="C51" i="23"/>
  <c r="D50" i="23"/>
  <c r="C50" i="23"/>
  <c r="D49" i="23"/>
  <c r="C49" i="23"/>
  <c r="D48" i="23"/>
  <c r="C48" i="23"/>
  <c r="D47" i="23"/>
  <c r="C47" i="23"/>
  <c r="D46" i="23"/>
  <c r="C46" i="23"/>
  <c r="D45" i="23"/>
  <c r="C45" i="23"/>
  <c r="D44" i="23"/>
  <c r="C44" i="23"/>
  <c r="D43" i="23"/>
  <c r="C43" i="23"/>
  <c r="D42" i="23"/>
  <c r="C42" i="23"/>
  <c r="D41" i="23"/>
  <c r="C41" i="23"/>
  <c r="D40" i="23"/>
  <c r="C40" i="23"/>
  <c r="D39" i="23"/>
  <c r="C39" i="23"/>
  <c r="D38" i="23"/>
  <c r="C38" i="23"/>
  <c r="D37" i="23"/>
  <c r="C37" i="23"/>
  <c r="D36" i="23"/>
  <c r="C36" i="23"/>
  <c r="B60" i="23"/>
  <c r="B59" i="23"/>
  <c r="B58" i="23"/>
  <c r="B57" i="23"/>
  <c r="B56" i="23"/>
  <c r="B55" i="23"/>
  <c r="B54" i="23"/>
  <c r="B53" i="23"/>
  <c r="B52" i="23"/>
  <c r="B51" i="23"/>
  <c r="B50" i="23"/>
  <c r="B49" i="23"/>
  <c r="B48" i="23"/>
  <c r="B47" i="23"/>
  <c r="B46" i="23"/>
  <c r="B45" i="23"/>
  <c r="B43" i="23"/>
  <c r="B42" i="23"/>
  <c r="B41" i="23"/>
  <c r="B40" i="23"/>
  <c r="B39" i="23"/>
  <c r="B38" i="23"/>
  <c r="B37" i="23"/>
  <c r="B36" i="23"/>
  <c r="J29" i="23"/>
  <c r="K11" i="23"/>
  <c r="K13" i="23"/>
  <c r="K14" i="23"/>
  <c r="K15" i="23"/>
  <c r="K16" i="23"/>
  <c r="K17" i="23"/>
  <c r="K18" i="23"/>
  <c r="K21" i="23"/>
  <c r="K22" i="23"/>
  <c r="F23" i="23"/>
  <c r="K24" i="23"/>
  <c r="F25" i="23"/>
  <c r="K26" i="23"/>
  <c r="F27" i="23"/>
  <c r="F28" i="23"/>
  <c r="K27" i="23" l="1"/>
  <c r="K12" i="23"/>
  <c r="K19" i="23"/>
  <c r="BP2" i="19"/>
  <c r="K10" i="23"/>
  <c r="K25" i="23"/>
  <c r="K9" i="23"/>
  <c r="K23" i="23"/>
  <c r="F24" i="23"/>
  <c r="K20" i="23"/>
  <c r="K28" i="23"/>
  <c r="F26" i="23"/>
  <c r="F22" i="23"/>
  <c r="B9" i="23"/>
  <c r="C9" i="23"/>
  <c r="B10" i="23"/>
  <c r="C10" i="23"/>
  <c r="B11" i="23"/>
  <c r="C11" i="23"/>
  <c r="B12" i="23"/>
  <c r="C12" i="23"/>
  <c r="B13" i="23"/>
  <c r="C13" i="23"/>
  <c r="B14" i="23"/>
  <c r="C14" i="23"/>
  <c r="B15" i="23"/>
  <c r="C15" i="23"/>
  <c r="B16" i="23"/>
  <c r="C16" i="23"/>
  <c r="B17" i="23"/>
  <c r="C17" i="23"/>
  <c r="B18" i="23"/>
  <c r="C18" i="23"/>
  <c r="B19" i="23"/>
  <c r="C19" i="23"/>
  <c r="B20" i="23"/>
  <c r="C20" i="23"/>
  <c r="B21" i="23"/>
  <c r="C21" i="23"/>
  <c r="B22" i="23"/>
  <c r="C22" i="23"/>
  <c r="C23" i="23"/>
  <c r="B24" i="23"/>
  <c r="C24" i="23"/>
  <c r="B25" i="23"/>
  <c r="C25" i="23"/>
  <c r="B26" i="23"/>
  <c r="C26" i="23"/>
  <c r="B27" i="23"/>
  <c r="C27" i="23"/>
  <c r="B28" i="23"/>
  <c r="C28" i="23"/>
  <c r="F5" i="23"/>
  <c r="F31" i="23" s="1"/>
  <c r="N5" i="21" l="1"/>
  <c r="N7" i="20"/>
  <c r="M7" i="16"/>
  <c r="M9" i="16" s="1"/>
  <c r="A2" i="19" l="1"/>
  <c r="M15" i="16" l="1"/>
  <c r="BQ2" i="19" s="1"/>
  <c r="BM2" i="19" l="1"/>
  <c r="BN2" i="19"/>
  <c r="BL2" i="19"/>
  <c r="BH2" i="19"/>
  <c r="BI2" i="19"/>
  <c r="BO2" i="19"/>
  <c r="BK2" i="19"/>
  <c r="BF2" i="19"/>
  <c r="BG2" i="19"/>
  <c r="BE2" i="19"/>
  <c r="H2" i="19" l="1"/>
  <c r="K2" i="19" l="1"/>
  <c r="BW2" i="19"/>
  <c r="N20" i="16" l="1"/>
  <c r="E92" i="16"/>
  <c r="BT2" i="19"/>
  <c r="E61" i="16"/>
  <c r="E36" i="16"/>
  <c r="BV2" i="19"/>
  <c r="BU2" i="19"/>
  <c r="CA2" i="19"/>
  <c r="CD2" i="19"/>
  <c r="BY2" i="19"/>
  <c r="BX2" i="19"/>
  <c r="CB2" i="19"/>
  <c r="CC2" i="19"/>
  <c r="J20" i="16" l="1"/>
  <c r="I20" i="16"/>
  <c r="H20" i="16"/>
  <c r="M20" i="16"/>
  <c r="K20" i="16"/>
  <c r="CG2" i="19" l="1"/>
</calcChain>
</file>

<file path=xl/comments1.xml><?xml version="1.0" encoding="utf-8"?>
<comments xmlns="http://schemas.openxmlformats.org/spreadsheetml/2006/main">
  <authors>
    <author>Blackmon, Glenn (COM)</author>
  </authors>
  <commentList>
    <comment ref="A11" authorId="0">
      <text>
        <r>
          <rPr>
            <sz val="9"/>
            <color indexed="81"/>
            <rFont val="Tahoma"/>
            <family val="2"/>
          </rPr>
          <t xml:space="preserve">Utilities selecting the Resource Cost or No Load Growth methods must submit additional information. See details in WAC 194-37-110.
</t>
        </r>
      </text>
    </comment>
    <comment ref="K17" authorId="0">
      <text>
        <r>
          <rPr>
            <b/>
            <sz val="9"/>
            <color indexed="81"/>
            <rFont val="Tahoma"/>
            <family val="2"/>
          </rPr>
          <t>NOTE:</t>
        </r>
        <r>
          <rPr>
            <sz val="9"/>
            <color indexed="81"/>
            <rFont val="Tahoma"/>
            <family val="2"/>
          </rPr>
          <t xml:space="preserve"> Biomass energy is electricity from a biomass-fueled generating facility that commenced operation after March 31, 1999, and meets other legal requirements. 
</t>
        </r>
      </text>
    </comment>
    <comment ref="L17" authorId="0">
      <text>
        <r>
          <rPr>
            <b/>
            <sz val="9"/>
            <color indexed="81"/>
            <rFont val="Tahoma"/>
            <family val="2"/>
          </rPr>
          <t xml:space="preserve">NOTE: </t>
        </r>
        <r>
          <rPr>
            <sz val="9"/>
            <color indexed="81"/>
            <rFont val="Tahoma"/>
            <family val="2"/>
          </rPr>
          <t>Qualified biomass energy is defined as electricity generated using biomass at a facility that commenced operation before March 31, 1999.
DO NOT report qualified biomass energy in the "biomass energy" column.</t>
        </r>
      </text>
    </comment>
  </commentList>
</comments>
</file>

<file path=xl/sharedStrings.xml><?xml version="1.0" encoding="utf-8"?>
<sst xmlns="http://schemas.openxmlformats.org/spreadsheetml/2006/main" count="389" uniqueCount="252">
  <si>
    <t>Utility Contact Name/Dept</t>
  </si>
  <si>
    <t>Phone</t>
  </si>
  <si>
    <t>Email</t>
  </si>
  <si>
    <t>Achievement</t>
  </si>
  <si>
    <t>Utility</t>
  </si>
  <si>
    <t xml:space="preserve"> NEEA</t>
  </si>
  <si>
    <t>Total</t>
  </si>
  <si>
    <t>MWh</t>
  </si>
  <si>
    <t>Utility Expenditures ($)</t>
  </si>
  <si>
    <t xml:space="preserve"> Residential </t>
  </si>
  <si>
    <t xml:space="preserve"> Commercial</t>
  </si>
  <si>
    <t xml:space="preserve"> Industrial</t>
  </si>
  <si>
    <t xml:space="preserve"> Agriculture</t>
  </si>
  <si>
    <t>Compliance Year</t>
  </si>
  <si>
    <t>Water</t>
  </si>
  <si>
    <t>Wind</t>
  </si>
  <si>
    <t>Landfill Gas</t>
  </si>
  <si>
    <t>Gas from Sewage Treatment</t>
  </si>
  <si>
    <t>Renewable Energy Credits</t>
  </si>
  <si>
    <t>Facility Name</t>
  </si>
  <si>
    <t xml:space="preserve"> Distribution Efficiency</t>
  </si>
  <si>
    <t xml:space="preserve"> Production Efficiency</t>
  </si>
  <si>
    <t>Renewable Resources</t>
  </si>
  <si>
    <t>Wave, Ocean, Tidal</t>
  </si>
  <si>
    <t>Conservation by Sector</t>
  </si>
  <si>
    <t>Eligible Renewable Resources (MWh)</t>
  </si>
  <si>
    <t>Loads and Resources</t>
  </si>
  <si>
    <t>Select</t>
  </si>
  <si>
    <t xml:space="preserve">19.285.040 (2)(b) Renewables Target </t>
  </si>
  <si>
    <t>19.285.040 (2)(d) No Load Growth</t>
  </si>
  <si>
    <t xml:space="preserve">19.285.050 Incremental Resource Cost  </t>
  </si>
  <si>
    <t>WREGIS ID</t>
  </si>
  <si>
    <t>MWh equiv.</t>
  </si>
  <si>
    <r>
      <t xml:space="preserve"> </t>
    </r>
    <r>
      <rPr>
        <b/>
        <sz val="10"/>
        <color theme="1"/>
        <rFont val="Arial"/>
        <family val="2"/>
      </rPr>
      <t>Planning</t>
    </r>
  </si>
  <si>
    <r>
      <t xml:space="preserve">Conservation expenditures </t>
    </r>
    <r>
      <rPr>
        <i/>
        <sz val="10"/>
        <color theme="1"/>
        <rFont val="Arial"/>
        <family val="2"/>
      </rPr>
      <t xml:space="preserve">NOT </t>
    </r>
    <r>
      <rPr>
        <sz val="10"/>
        <color theme="1"/>
        <rFont val="Arial"/>
        <family val="2"/>
      </rPr>
      <t>included in sector expenditures</t>
    </r>
  </si>
  <si>
    <t>2014 - 2015 Planning</t>
  </si>
  <si>
    <t>2014 - 2015 Target (MWh)</t>
  </si>
  <si>
    <t>2014-2023 Ten Year Potential (MWh)</t>
  </si>
  <si>
    <t>Documentation of the calculation and inputs for percentage of revenue requirement invested in renewables:</t>
  </si>
  <si>
    <t>Other notes and explanations:</t>
  </si>
  <si>
    <t>Contact Name/Dept</t>
  </si>
  <si>
    <t>Report Date</t>
  </si>
  <si>
    <t>CON_Contact_Name</t>
  </si>
  <si>
    <t>CON_Email</t>
  </si>
  <si>
    <t>CON_Phone</t>
  </si>
  <si>
    <t>CON_Report_Date</t>
  </si>
  <si>
    <t>CON_Utility_Name</t>
  </si>
  <si>
    <t>REN_Contact_Name</t>
  </si>
  <si>
    <t>REN_Email</t>
  </si>
  <si>
    <t>REN_Submittal_Date</t>
  </si>
  <si>
    <t>REN_Utility_Name</t>
  </si>
  <si>
    <t>CON_Target_2014_2015</t>
  </si>
  <si>
    <t>REN_ERR_ApprenticeLabor</t>
  </si>
  <si>
    <t>REN_ERR_Biodiesel</t>
  </si>
  <si>
    <t>REN_ERR_Biomass</t>
  </si>
  <si>
    <t>REN_ERR_Geothermal</t>
  </si>
  <si>
    <t>REN_ERR_LandfillGas</t>
  </si>
  <si>
    <t>REN_ERR_SewageGas</t>
  </si>
  <si>
    <t>REN_ERR_Solar</t>
  </si>
  <si>
    <t>REN_ERR_Water</t>
  </si>
  <si>
    <t>REN_ERR_Wind</t>
  </si>
  <si>
    <t>REN_ERR_WOT</t>
  </si>
  <si>
    <t>REN_REC_ApprenticeLabor</t>
  </si>
  <si>
    <t>REN_REC_Biodiesel</t>
  </si>
  <si>
    <t>REN_REC_Biomass</t>
  </si>
  <si>
    <t>REN_REC_DistributedGeneration</t>
  </si>
  <si>
    <t>REN_REC_Geothermal</t>
  </si>
  <si>
    <t>REN_REC_LandfillGas</t>
  </si>
  <si>
    <t>REN_REC_SewageGas</t>
  </si>
  <si>
    <t>REN_REC_Solar</t>
  </si>
  <si>
    <t>REN_REC_Wind</t>
  </si>
  <si>
    <t>REN_REC_WOT</t>
  </si>
  <si>
    <t>Amount invested in incremental cost of eligible renewable resources and the cost of RECs</t>
  </si>
  <si>
    <t>Investment in renewables and RECs as a percent of retail revenue requirement</t>
  </si>
  <si>
    <t>2014 Achievement</t>
  </si>
  <si>
    <t>CON_2014_Agriculture_Expend</t>
  </si>
  <si>
    <t>CON_2014_Agriculture_MWH</t>
  </si>
  <si>
    <t>CON_2014_Commercial_Expend</t>
  </si>
  <si>
    <t>CON_2014_Commercial_MWH</t>
  </si>
  <si>
    <t>CON_2014_Distribution_Expend</t>
  </si>
  <si>
    <t>CON_2014_Distribution_MWH</t>
  </si>
  <si>
    <t>CON_2014_Expenditures</t>
  </si>
  <si>
    <t>CON_2014_Industrial_Expend</t>
  </si>
  <si>
    <t>CON_2014_Industrial_MWH</t>
  </si>
  <si>
    <t>CON_2014_MWH</t>
  </si>
  <si>
    <t>CON_2014_OtherSector1_Expend</t>
  </si>
  <si>
    <t>CON_2014_OtherSector1_MWH</t>
  </si>
  <si>
    <t>CON_2014_OtherSector2_Expend</t>
  </si>
  <si>
    <t>CON_2014_OtherSector2_MWH</t>
  </si>
  <si>
    <t>CON_2014_Production_Expend</t>
  </si>
  <si>
    <t>CON_2014_Production_MWH</t>
  </si>
  <si>
    <t>CON_2014_Program1_Expend</t>
  </si>
  <si>
    <t>CON_2014_Program2_Expend</t>
  </si>
  <si>
    <t>CON_2014_Residential_Expend</t>
  </si>
  <si>
    <t>CON_2014_Residential_MWH</t>
  </si>
  <si>
    <t>Description of Substitute Resource</t>
  </si>
  <si>
    <t>Renewable Resource Cost per MWH</t>
  </si>
  <si>
    <t>Substitute Resource Cost per MWH</t>
  </si>
  <si>
    <t>Totals</t>
  </si>
  <si>
    <t>2014 Annual Load (MWh)</t>
  </si>
  <si>
    <t>Average of 2013 &amp; 2014 Annual Loads (MWh)</t>
  </si>
  <si>
    <t>Incremental Cost of Renewable Resources</t>
  </si>
  <si>
    <t xml:space="preserve">Cost of Renewable Energy Credits </t>
  </si>
  <si>
    <t>CON_2014_NEEA_Expend</t>
  </si>
  <si>
    <t>CON_2014_NEEA_MWH</t>
  </si>
  <si>
    <t>REN_Load_2014</t>
  </si>
  <si>
    <r>
      <t>Submission:</t>
    </r>
    <r>
      <rPr>
        <sz val="11"/>
        <color rgb="FF000000"/>
        <rFont val="Arial"/>
        <family val="2"/>
      </rPr>
      <t xml:space="preserve"> Email this workbook and all supporting documentation to </t>
    </r>
    <r>
      <rPr>
        <b/>
        <sz val="11"/>
        <color rgb="FF993300"/>
        <rFont val="Arial"/>
        <family val="2"/>
      </rPr>
      <t xml:space="preserve">EIA@commerce.wa.gov </t>
    </r>
  </si>
  <si>
    <t>Number of RECs</t>
  </si>
  <si>
    <t>Annual Cost of Renewable Energy Credits</t>
  </si>
  <si>
    <t>Cost per REC</t>
  </si>
  <si>
    <t>Published 3/31/2016</t>
  </si>
  <si>
    <r>
      <t>Deadline:</t>
    </r>
    <r>
      <rPr>
        <sz val="11"/>
        <color rgb="FF000000"/>
        <rFont val="Arial"/>
        <family val="2"/>
      </rPr>
      <t xml:space="preserve"> June 1, 2016</t>
    </r>
  </si>
  <si>
    <t>RENEWABLE ENERGY WORKSHEET – REVISIONS TO 2014 REPORT</t>
  </si>
  <si>
    <r>
      <t xml:space="preserve">In addition to submitting the 2016 report, each qualifying utility should review the renewable energy report it submitted in 2014. In many cases, the specific resources and quantities actually used to comply with the 2014 target differ from what the utility reported in June 2014. </t>
    </r>
    <r>
      <rPr>
        <u/>
        <sz val="11"/>
        <color theme="1"/>
        <rFont val="Arial"/>
        <family val="2"/>
      </rPr>
      <t>Utilities should submit a revised 2014 report if the actual values differ from the values reported in 2014.</t>
    </r>
    <r>
      <rPr>
        <sz val="11"/>
        <color theme="1"/>
        <rFont val="Arial"/>
        <family val="2"/>
      </rPr>
      <t xml:space="preserve"> </t>
    </r>
  </si>
  <si>
    <r>
      <rPr>
        <b/>
        <sz val="11"/>
        <color theme="1"/>
        <rFont val="Arial"/>
        <family val="2"/>
      </rPr>
      <t>WAC 194-37-110(4): Final compliance report.</t>
    </r>
    <r>
      <rPr>
        <sz val="11"/>
        <color theme="1"/>
        <rFont val="Arial"/>
        <family val="2"/>
      </rPr>
      <t xml:space="preserve"> A utility must submit a final renewable compliance report by the later of (a) two years after the filing of the report required in subsections (1) through (3) of this section; or (b) ninety days after the issuance of the auditor's report for the target year. The final renewable compliance report must provide an update of any revisions to the information previously reported pursuant to this section or, if no revisions were made, notify the department that the initial report should be considered the final report. </t>
    </r>
  </si>
  <si>
    <t xml:space="preserve">Please use the 2014 template and mark it as "revised." Contact Commerce to obtain a copy of the 2014 reporting template if necessary. </t>
  </si>
  <si>
    <r>
      <rPr>
        <sz val="12"/>
        <color theme="1"/>
        <rFont val="Arial"/>
        <family val="2"/>
      </rPr>
      <t xml:space="preserve">Energy Independence Act (I-937) </t>
    </r>
    <r>
      <rPr>
        <sz val="12"/>
        <color theme="1"/>
        <rFont val="Arial Black"/>
        <family val="2"/>
      </rPr>
      <t>Conservation Report 2016</t>
    </r>
  </si>
  <si>
    <t>2016 - 2017 Planning</t>
  </si>
  <si>
    <t>2015 Achievement</t>
  </si>
  <si>
    <t>2014-2015</t>
  </si>
  <si>
    <t>Biennial</t>
  </si>
  <si>
    <t>2016-2017</t>
  </si>
  <si>
    <t>2016-2025 Ten Year Potential (MWh)</t>
  </si>
  <si>
    <t>2016 - 2017 Target (MWh)</t>
  </si>
  <si>
    <t>Summary of Achievement and Targets (MWh)</t>
  </si>
  <si>
    <t xml:space="preserve">Target </t>
  </si>
  <si>
    <t>Target</t>
  </si>
  <si>
    <r>
      <rPr>
        <sz val="12"/>
        <color indexed="8"/>
        <rFont val="Arial"/>
        <family val="2"/>
      </rPr>
      <t>Energy Independence Act (EIA)</t>
    </r>
    <r>
      <rPr>
        <b/>
        <sz val="12"/>
        <color indexed="8"/>
        <rFont val="Arial"/>
        <family val="2"/>
      </rPr>
      <t xml:space="preserve"> </t>
    </r>
    <r>
      <rPr>
        <sz val="12"/>
        <color indexed="8"/>
        <rFont val="Arial Black"/>
        <family val="2"/>
      </rPr>
      <t>Renewable Energy Report 2016</t>
    </r>
  </si>
  <si>
    <t>2016 Compliance Method:</t>
  </si>
  <si>
    <r>
      <t xml:space="preserve">REC Vintage </t>
    </r>
    <r>
      <rPr>
        <sz val="10"/>
        <rFont val="Arial"/>
        <family val="2"/>
      </rPr>
      <t>(Year)</t>
    </r>
  </si>
  <si>
    <t>RECs</t>
  </si>
  <si>
    <t>Total Renewables (MWh+RECs)</t>
  </si>
  <si>
    <t>2015 Annual Load (MWh)</t>
  </si>
  <si>
    <t>2016 Renewable Target (% of load)</t>
  </si>
  <si>
    <t>Eligible Renewable Resources and RECs</t>
  </si>
  <si>
    <t>Incremental Cost of Renewable Resource in 2016</t>
  </si>
  <si>
    <t>Substitute Resource Annual Cost in 2016</t>
  </si>
  <si>
    <t>Renewable Resource Annual Cost in 2016</t>
  </si>
  <si>
    <r>
      <rPr>
        <sz val="12"/>
        <color indexed="8"/>
        <rFont val="Arial"/>
        <family val="2"/>
      </rPr>
      <t>Energy Independence Act (EIA)</t>
    </r>
    <r>
      <rPr>
        <b/>
        <sz val="12"/>
        <color indexed="8"/>
        <rFont val="Arial"/>
        <family val="2"/>
      </rPr>
      <t xml:space="preserve"> </t>
    </r>
    <r>
      <rPr>
        <sz val="12"/>
        <color indexed="8"/>
        <rFont val="Arial Black"/>
        <family val="2"/>
      </rPr>
      <t>Incremental Cost and REC Cost Report 2016</t>
    </r>
  </si>
  <si>
    <t>Expenditures on Renewable Resources and RECs - 2016</t>
  </si>
  <si>
    <t>Total annual retail revenue requirement - 2016</t>
  </si>
  <si>
    <t>2016 Eligible Renewable Energy Target (MWh)</t>
  </si>
  <si>
    <t>CON_2015_Commercial_MWH</t>
  </si>
  <si>
    <t>CON_2015_Industrial_MWH</t>
  </si>
  <si>
    <t>CON_2015_Residential_MWH</t>
  </si>
  <si>
    <t>CON_Potential_2015_2023</t>
  </si>
  <si>
    <t>CON_Potential_2016_2025</t>
  </si>
  <si>
    <t>CON_Target_2016_2017</t>
  </si>
  <si>
    <t>REN_Expenditure_Amount_2016</t>
  </si>
  <si>
    <t>REN_Expenditure_Percent_2016</t>
  </si>
  <si>
    <t>REN_Load_2015</t>
  </si>
  <si>
    <t>REN_RetailRevenueRequirement_2016</t>
  </si>
  <si>
    <t>REN_Total_2016</t>
  </si>
  <si>
    <t>CON_2015_Commercial_Expend</t>
  </si>
  <si>
    <t>CON_2015_OtherSector1_Expend</t>
  </si>
  <si>
    <t>CON_2015_OtherSector1_MWH</t>
  </si>
  <si>
    <t>CON_2015_OtherSector2_Expend</t>
  </si>
  <si>
    <t>CON_2015_OtherSector2_MWH</t>
  </si>
  <si>
    <t>CON_2015_Production_Expend</t>
  </si>
  <si>
    <t>CON_2015_Production_MWH</t>
  </si>
  <si>
    <t>CON_2015_Program1_Expend</t>
  </si>
  <si>
    <t>CON_2015_Program2_Expend</t>
  </si>
  <si>
    <t>CON_2015_Agriculture_Expend</t>
  </si>
  <si>
    <t>CON_2015_Agriculture_MWH</t>
  </si>
  <si>
    <t>CON_2015_Distribution_Expend</t>
  </si>
  <si>
    <t>CON_2015_Distribution_MWH</t>
  </si>
  <si>
    <t>CON_2015_Expenditures</t>
  </si>
  <si>
    <t>CON_2015_Industrial_Expend</t>
  </si>
  <si>
    <t>CON_2015_MWH</t>
  </si>
  <si>
    <t>CON_2015_NEEA_Expend</t>
  </si>
  <si>
    <t>CON_2015_NEEA_MWH</t>
  </si>
  <si>
    <t>CON_2015_Residential_Expend</t>
  </si>
  <si>
    <t>Biodiesel</t>
  </si>
  <si>
    <t>Solar</t>
  </si>
  <si>
    <t>Geothermal</t>
  </si>
  <si>
    <t>Resource Type</t>
  </si>
  <si>
    <t>Biomass</t>
  </si>
  <si>
    <t>Qualified Biomass</t>
  </si>
  <si>
    <t>Apprentice Labor Eligibility</t>
  </si>
  <si>
    <t>No</t>
  </si>
  <si>
    <t>Apprentice Labor Amount</t>
  </si>
  <si>
    <t>Distributed Generation Eligibility</t>
  </si>
  <si>
    <t>Distributed Generation Amount</t>
  </si>
  <si>
    <t>Quantity</t>
  </si>
  <si>
    <t>Explanatory Notes (as needed)</t>
  </si>
  <si>
    <t>Apprentice Labor Credit</t>
  </si>
  <si>
    <t>Distributed Generation Credit</t>
  </si>
  <si>
    <t>REC_REC_QBE</t>
  </si>
  <si>
    <t>REN_ERR_QBE</t>
  </si>
  <si>
    <r>
      <t xml:space="preserve">Apprentice Labor Amount </t>
    </r>
    <r>
      <rPr>
        <sz val="9"/>
        <color theme="1"/>
        <rFont val="Arial"/>
        <family val="2"/>
      </rPr>
      <t>(MWh equiv.)</t>
    </r>
  </si>
  <si>
    <r>
      <t xml:space="preserve">Generation Amount </t>
    </r>
    <r>
      <rPr>
        <sz val="9"/>
        <color theme="1"/>
        <rFont val="Arial"/>
        <family val="2"/>
      </rPr>
      <t>(MWh)</t>
    </r>
  </si>
  <si>
    <t>Notes, including a brief description of the methodology used to establish the utility's ten-year potential and biennial target to capture cost-effective conservation:</t>
  </si>
  <si>
    <t>Enter information in green-shaded fields.</t>
  </si>
  <si>
    <t>Do not modify blue-shaded fields.</t>
  </si>
  <si>
    <r>
      <t xml:space="preserve">Energy Independence Act (I-937) </t>
    </r>
    <r>
      <rPr>
        <sz val="11"/>
        <color rgb="FF000000"/>
        <rFont val="Arial Black"/>
        <family val="2"/>
      </rPr>
      <t>Report Workbook</t>
    </r>
  </si>
  <si>
    <t>Surplus (Deficit)</t>
  </si>
  <si>
    <t>Utility Name</t>
  </si>
  <si>
    <r>
      <t>Questions:</t>
    </r>
    <r>
      <rPr>
        <sz val="11"/>
        <color rgb="FF000000"/>
        <rFont val="Arial"/>
        <family val="2"/>
      </rPr>
      <t xml:space="preserve"> Glenn Blackmon, State Energy Office, (360) 725-3115, </t>
    </r>
    <r>
      <rPr>
        <b/>
        <sz val="11"/>
        <color theme="3"/>
        <rFont val="Arial"/>
        <family val="2"/>
      </rPr>
      <t>glenn.blackmon@commerce.wa.gov</t>
    </r>
  </si>
  <si>
    <t>Pacific Power &amp; Light Company</t>
  </si>
  <si>
    <t>Goodnoe Hills</t>
  </si>
  <si>
    <t>Leaning Juniper</t>
  </si>
  <si>
    <t>Marengo I</t>
  </si>
  <si>
    <t>Marengo II</t>
  </si>
  <si>
    <t>Campbell Hill/Three Buttes</t>
  </si>
  <si>
    <t>Dunlap I</t>
  </si>
  <si>
    <t>Glenrock Wind I</t>
  </si>
  <si>
    <t>Top of the World</t>
  </si>
  <si>
    <t>W536</t>
  </si>
  <si>
    <t>W200</t>
  </si>
  <si>
    <t>W185</t>
  </si>
  <si>
    <t>W772</t>
  </si>
  <si>
    <t>Lower Snake – Phalen Gulch Wind</t>
  </si>
  <si>
    <t>Hidden Hollow</t>
  </si>
  <si>
    <t>Fighting Creek</t>
  </si>
  <si>
    <t>Elkhorn Valley Wind Farm</t>
  </si>
  <si>
    <t>Nine Canyon Wind Project</t>
  </si>
  <si>
    <t>Bennett Creek Windfarm</t>
  </si>
  <si>
    <t>Hot Springs Wind Farm</t>
  </si>
  <si>
    <t>W1634</t>
  </si>
  <si>
    <t>W2670</t>
  </si>
  <si>
    <t>W2659</t>
  </si>
  <si>
    <t>W186</t>
  </si>
  <si>
    <t>W684</t>
  </si>
  <si>
    <t>W542</t>
  </si>
  <si>
    <t>W543</t>
  </si>
  <si>
    <t>W1383</t>
  </si>
  <si>
    <t>W1687</t>
  </si>
  <si>
    <t>W964</t>
  </si>
  <si>
    <t>W1749</t>
  </si>
  <si>
    <t>W180</t>
  </si>
  <si>
    <t>W157</t>
  </si>
  <si>
    <t>W140</t>
  </si>
  <si>
    <t>W158</t>
  </si>
  <si>
    <t>Prospect 2 - Upgrade</t>
  </si>
  <si>
    <t>Lemolo 1 - Upgrade</t>
  </si>
  <si>
    <t>JC Boyle - Upgrade</t>
  </si>
  <si>
    <t>Lemolo 2 - Upgrade</t>
  </si>
  <si>
    <t>W928</t>
  </si>
  <si>
    <t xml:space="preserve">Rolling Hills Wind </t>
  </si>
  <si>
    <t>Cory Scott / Demand Side Management</t>
  </si>
  <si>
    <t>(503) 813-6011</t>
  </si>
  <si>
    <t>cory.scott@pacificorp.com</t>
  </si>
  <si>
    <t>School Educ &amp; Outreach</t>
  </si>
  <si>
    <t>Evals, CPAs, TRL, Tracking system</t>
  </si>
  <si>
    <t>Ariel Son</t>
  </si>
  <si>
    <t>(503) 813-5410</t>
  </si>
  <si>
    <t>ariel.son@pacificorp.com</t>
  </si>
  <si>
    <t>Subtotal - Renewable Resources</t>
  </si>
  <si>
    <t>Subtotal - Renewable Energy Credits</t>
  </si>
  <si>
    <t xml:space="preserve">              -    </t>
  </si>
  <si>
    <t xml:space="preserve">              -   </t>
  </si>
  <si>
    <r>
      <t xml:space="preserve">6/1/2016 - </t>
    </r>
    <r>
      <rPr>
        <b/>
        <i/>
        <sz val="10"/>
        <color rgb="FFFF0000"/>
        <rFont val="Arial"/>
        <family val="2"/>
      </rPr>
      <t>REV August 9, 2016 per WUTC</t>
    </r>
  </si>
</sst>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5" formatCode="&quot;$&quot;#,##0_);\(&quot;$&quot;#,##0\)"/>
    <numFmt numFmtId="44" formatCode="_(&quot;$&quot;* #,##0.00_);_(&quot;$&quot;* \(#,##0.00\);_(&quot;$&quot;* &quot;-&quot;??_);_(@_)"/>
    <numFmt numFmtId="43" formatCode="_(* #,##0.00_);_(* \(#,##0.00\);_(* &quot;-&quot;??_);_(@_)"/>
    <numFmt numFmtId="164" formatCode="_(* #,##0.0_);_(* \(#,##0.0\);_(* &quot;-&quot;??_);_(@_)"/>
    <numFmt numFmtId="165" formatCode="_(* #,##0_);_(* \(#,##0\);_(* &quot;-&quot;??_);_(@_)"/>
    <numFmt numFmtId="166" formatCode="_(&quot;$&quot;* #,##0_);_(&quot;$&quot;* \(#,##0\);_(&quot;$&quot;* &quot;-&quot;??_);_(@_)"/>
    <numFmt numFmtId="167" formatCode="0.0%"/>
    <numFmt numFmtId="168" formatCode="[$-409]mmmm\ d\,\ yyyy;@"/>
    <numFmt numFmtId="169" formatCode="&quot;$&quot;#,##0"/>
  </numFmts>
  <fonts count="32" x14ac:knownFonts="1">
    <font>
      <sz val="11"/>
      <color theme="1"/>
      <name val="Calibri"/>
      <family val="2"/>
      <scheme val="minor"/>
    </font>
    <font>
      <sz val="10"/>
      <name val="Arial"/>
      <family val="2"/>
    </font>
    <font>
      <b/>
      <sz val="10"/>
      <name val="Arial"/>
      <family val="2"/>
    </font>
    <font>
      <sz val="12"/>
      <color indexed="8"/>
      <name val="Arial Black"/>
      <family val="2"/>
    </font>
    <font>
      <sz val="12"/>
      <color indexed="8"/>
      <name val="Arial"/>
      <family val="2"/>
    </font>
    <font>
      <b/>
      <sz val="12"/>
      <color indexed="8"/>
      <name val="Arial"/>
      <family val="2"/>
    </font>
    <font>
      <sz val="11"/>
      <color theme="1"/>
      <name val="Calibri"/>
      <family val="2"/>
      <scheme val="minor"/>
    </font>
    <font>
      <u/>
      <sz val="8.25"/>
      <color theme="10"/>
      <name val="Calibri"/>
      <family val="2"/>
    </font>
    <font>
      <sz val="10"/>
      <color theme="1"/>
      <name val="Arial"/>
      <family val="2"/>
    </font>
    <font>
      <b/>
      <sz val="10"/>
      <color theme="1"/>
      <name val="Arial"/>
      <family val="2"/>
    </font>
    <font>
      <i/>
      <sz val="10"/>
      <color theme="1"/>
      <name val="Arial"/>
      <family val="2"/>
    </font>
    <font>
      <sz val="9"/>
      <color theme="1"/>
      <name val="Arial"/>
      <family val="2"/>
    </font>
    <font>
      <b/>
      <sz val="9"/>
      <color theme="1"/>
      <name val="Arial"/>
      <family val="2"/>
    </font>
    <font>
      <sz val="11"/>
      <color theme="1"/>
      <name val="Arial"/>
      <family val="2"/>
    </font>
    <font>
      <sz val="14"/>
      <color theme="1"/>
      <name val="Arial"/>
      <family val="2"/>
    </font>
    <font>
      <sz val="12"/>
      <color theme="1"/>
      <name val="Arial Black"/>
      <family val="2"/>
    </font>
    <font>
      <sz val="12"/>
      <color theme="1"/>
      <name val="Arial"/>
      <family val="2"/>
    </font>
    <font>
      <sz val="9.75"/>
      <color theme="1"/>
      <name val="Arial"/>
      <family val="2"/>
    </font>
    <font>
      <sz val="11"/>
      <color rgb="FF000000"/>
      <name val="Arial Black"/>
      <family val="2"/>
    </font>
    <font>
      <u/>
      <sz val="11"/>
      <color theme="1"/>
      <name val="Arial"/>
      <family val="2"/>
    </font>
    <font>
      <sz val="11"/>
      <color rgb="FF000000"/>
      <name val="Arial"/>
      <family val="2"/>
    </font>
    <font>
      <b/>
      <sz val="11"/>
      <color rgb="FF000000"/>
      <name val="Arial"/>
      <family val="2"/>
    </font>
    <font>
      <b/>
      <sz val="11"/>
      <color rgb="FF993300"/>
      <name val="Arial"/>
      <family val="2"/>
    </font>
    <font>
      <b/>
      <sz val="11"/>
      <color theme="1"/>
      <name val="Arial"/>
      <family val="2"/>
    </font>
    <font>
      <b/>
      <sz val="12"/>
      <color theme="1"/>
      <name val="Arial"/>
      <family val="2"/>
    </font>
    <font>
      <sz val="9"/>
      <color indexed="81"/>
      <name val="Tahoma"/>
      <family val="2"/>
    </font>
    <font>
      <b/>
      <sz val="9"/>
      <color indexed="81"/>
      <name val="Tahoma"/>
      <family val="2"/>
    </font>
    <font>
      <b/>
      <sz val="14"/>
      <color theme="1"/>
      <name val="Arial"/>
      <family val="2"/>
    </font>
    <font>
      <b/>
      <sz val="11"/>
      <color theme="3"/>
      <name val="Arial"/>
      <family val="2"/>
    </font>
    <font>
      <u/>
      <sz val="10"/>
      <color theme="10"/>
      <name val="Arial"/>
      <family val="2"/>
    </font>
    <font>
      <b/>
      <i/>
      <sz val="10"/>
      <color rgb="FFFF0000"/>
      <name val="Arial"/>
      <family val="2"/>
    </font>
    <font>
      <b/>
      <sz val="10"/>
      <color rgb="FFFF0000"/>
      <name val="Arial"/>
      <family val="2"/>
    </font>
  </fonts>
  <fills count="11">
    <fill>
      <patternFill patternType="none"/>
    </fill>
    <fill>
      <patternFill patternType="gray125"/>
    </fill>
    <fill>
      <patternFill patternType="solid">
        <fgColor theme="0"/>
        <bgColor indexed="64"/>
      </patternFill>
    </fill>
    <fill>
      <patternFill patternType="lightUp">
        <fgColor theme="0" tint="-0.499984740745262"/>
        <bgColor rgb="FFE4E4E4"/>
      </patternFill>
    </fill>
    <fill>
      <patternFill patternType="darkGray">
        <fgColor theme="0" tint="-0.499984740745262"/>
        <bgColor rgb="FFE4E4E4"/>
      </patternFill>
    </fill>
    <fill>
      <patternFill patternType="solid">
        <fgColor rgb="FFFFFFFF"/>
        <bgColor indexed="64"/>
      </patternFill>
    </fill>
    <fill>
      <patternFill patternType="solid">
        <fgColor theme="4" tint="0.79998168889431442"/>
        <bgColor indexed="64"/>
      </patternFill>
    </fill>
    <fill>
      <patternFill patternType="solid">
        <fgColor theme="6" tint="0.79998168889431442"/>
        <bgColor indexed="64"/>
      </patternFill>
    </fill>
    <fill>
      <patternFill patternType="solid">
        <fgColor theme="3" tint="0.79998168889431442"/>
        <bgColor indexed="64"/>
      </patternFill>
    </fill>
    <fill>
      <patternFill patternType="solid">
        <fgColor theme="1"/>
        <bgColor indexed="64"/>
      </patternFill>
    </fill>
    <fill>
      <patternFill patternType="lightUp">
        <fgColor theme="0" tint="-0.499984740745262"/>
        <bgColor theme="4" tint="0.79998168889431442"/>
      </patternFill>
    </fill>
  </fills>
  <borders count="50">
    <border>
      <left/>
      <right/>
      <top/>
      <bottom/>
      <diagonal/>
    </border>
    <border>
      <left style="hair">
        <color indexed="64"/>
      </left>
      <right style="hair">
        <color indexed="64"/>
      </right>
      <top style="thin">
        <color indexed="64"/>
      </top>
      <bottom style="hair">
        <color indexed="64"/>
      </bottom>
      <diagonal/>
    </border>
    <border>
      <left style="hair">
        <color indexed="64"/>
      </left>
      <right style="hair">
        <color indexed="64"/>
      </right>
      <top style="hair">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style="hair">
        <color indexed="64"/>
      </right>
      <top/>
      <bottom style="hair">
        <color indexed="64"/>
      </bottom>
      <diagonal/>
    </border>
    <border>
      <left/>
      <right/>
      <top/>
      <bottom style="hair">
        <color indexed="64"/>
      </bottom>
      <diagonal/>
    </border>
    <border>
      <left/>
      <right style="hair">
        <color indexed="64"/>
      </right>
      <top style="hair">
        <color indexed="64"/>
      </top>
      <bottom style="hair">
        <color indexed="64"/>
      </bottom>
      <diagonal/>
    </border>
    <border>
      <left/>
      <right/>
      <top style="thin">
        <color indexed="64"/>
      </top>
      <bottom/>
      <diagonal/>
    </border>
    <border>
      <left/>
      <right style="hair">
        <color indexed="64"/>
      </right>
      <top style="thin">
        <color indexed="64"/>
      </top>
      <bottom style="hair">
        <color indexed="64"/>
      </bottom>
      <diagonal/>
    </border>
    <border>
      <left/>
      <right style="hair">
        <color indexed="64"/>
      </right>
      <top style="hair">
        <color indexed="64"/>
      </top>
      <bottom style="thin">
        <color indexed="64"/>
      </bottom>
      <diagonal/>
    </border>
    <border>
      <left/>
      <right style="thin">
        <color indexed="64"/>
      </right>
      <top style="hair">
        <color indexed="64"/>
      </top>
      <bottom style="hair">
        <color indexed="64"/>
      </bottom>
      <diagonal/>
    </border>
    <border>
      <left/>
      <right style="thin">
        <color indexed="64"/>
      </right>
      <top/>
      <bottom style="thin">
        <color indexed="64"/>
      </bottom>
      <diagonal/>
    </border>
    <border>
      <left/>
      <right/>
      <top style="hair">
        <color indexed="64"/>
      </top>
      <bottom style="hair">
        <color indexed="64"/>
      </bottom>
      <diagonal/>
    </border>
    <border>
      <left/>
      <right/>
      <top style="hair">
        <color indexed="64"/>
      </top>
      <bottom style="thin">
        <color indexed="64"/>
      </bottom>
      <diagonal/>
    </border>
    <border>
      <left style="hair">
        <color indexed="64"/>
      </left>
      <right/>
      <top style="thin">
        <color indexed="64"/>
      </top>
      <bottom style="hair">
        <color indexed="64"/>
      </bottom>
      <diagonal/>
    </border>
    <border>
      <left style="hair">
        <color indexed="64"/>
      </left>
      <right/>
      <top style="hair">
        <color indexed="64"/>
      </top>
      <bottom style="thin">
        <color indexed="64"/>
      </bottom>
      <diagonal/>
    </border>
    <border>
      <left/>
      <right/>
      <top style="thin">
        <color indexed="64"/>
      </top>
      <bottom style="thin">
        <color indexed="64"/>
      </bottom>
      <diagonal/>
    </border>
    <border>
      <left/>
      <right/>
      <top style="thin">
        <color indexed="64"/>
      </top>
      <bottom style="hair">
        <color indexed="64"/>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style="hair">
        <color indexed="64"/>
      </right>
      <top style="hair">
        <color indexed="64"/>
      </top>
      <bottom/>
      <diagonal/>
    </border>
    <border>
      <left/>
      <right style="hair">
        <color indexed="64"/>
      </right>
      <top/>
      <bottom style="hair">
        <color indexed="64"/>
      </bottom>
      <diagonal/>
    </border>
    <border>
      <left style="medium">
        <color indexed="64"/>
      </left>
      <right/>
      <top/>
      <bottom/>
      <diagonal/>
    </border>
    <border>
      <left style="medium">
        <color indexed="64"/>
      </left>
      <right/>
      <top/>
      <bottom style="medium">
        <color indexed="64"/>
      </bottom>
      <diagonal/>
    </border>
    <border>
      <left/>
      <right/>
      <top style="thick">
        <color indexed="64"/>
      </top>
      <bottom/>
      <diagonal/>
    </border>
    <border>
      <left/>
      <right/>
      <top/>
      <bottom style="thin">
        <color indexed="64"/>
      </bottom>
      <diagonal/>
    </border>
    <border>
      <left style="thin">
        <color indexed="64"/>
      </left>
      <right/>
      <top/>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top/>
      <bottom style="thin">
        <color indexed="64"/>
      </bottom>
      <diagonal/>
    </border>
    <border>
      <left style="hair">
        <color indexed="64"/>
      </left>
      <right/>
      <top/>
      <bottom style="hair">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hair">
        <color indexed="64"/>
      </left>
      <right/>
      <top/>
      <bottom style="thin">
        <color indexed="64"/>
      </bottom>
      <diagonal/>
    </border>
    <border>
      <left/>
      <right/>
      <top/>
      <bottom style="medium">
        <color indexed="64"/>
      </bottom>
      <diagonal/>
    </border>
    <border>
      <left/>
      <right/>
      <top style="medium">
        <color indexed="64"/>
      </top>
      <bottom/>
      <diagonal/>
    </border>
    <border>
      <left/>
      <right/>
      <top style="thin">
        <color indexed="64"/>
      </top>
      <bottom style="medium">
        <color indexed="64"/>
      </bottom>
      <diagonal/>
    </border>
    <border>
      <left/>
      <right/>
      <top style="hair">
        <color indexed="64"/>
      </top>
      <bottom style="medium">
        <color indexed="64"/>
      </bottom>
      <diagonal/>
    </border>
    <border>
      <left style="hair">
        <color indexed="64"/>
      </left>
      <right style="thin">
        <color indexed="64"/>
      </right>
      <top style="hair">
        <color indexed="64"/>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indexed="64"/>
      </left>
      <right style="hair">
        <color indexed="64"/>
      </right>
      <top style="hair">
        <color indexed="64"/>
      </top>
      <bottom/>
      <diagonal/>
    </border>
    <border>
      <left/>
      <right style="hair">
        <color indexed="64"/>
      </right>
      <top style="thin">
        <color indexed="64"/>
      </top>
      <bottom style="thin">
        <color indexed="64"/>
      </bottom>
      <diagonal/>
    </border>
    <border>
      <left style="hair">
        <color indexed="64"/>
      </left>
      <right style="hair">
        <color indexed="64"/>
      </right>
      <top style="thin">
        <color indexed="64"/>
      </top>
      <bottom/>
      <diagonal/>
    </border>
    <border>
      <left style="hair">
        <color indexed="64"/>
      </left>
      <right style="hair">
        <color indexed="64"/>
      </right>
      <top/>
      <bottom/>
      <diagonal/>
    </border>
    <border>
      <left style="hair">
        <color indexed="64"/>
      </left>
      <right style="hair">
        <color indexed="64"/>
      </right>
      <top style="hair">
        <color indexed="64"/>
      </top>
      <bottom/>
      <diagonal/>
    </border>
    <border>
      <left/>
      <right style="thin">
        <color indexed="64"/>
      </right>
      <top style="thin">
        <color indexed="64"/>
      </top>
      <bottom style="thin">
        <color indexed="64"/>
      </bottom>
      <diagonal/>
    </border>
  </borders>
  <cellStyleXfs count="5">
    <xf numFmtId="0" fontId="0" fillId="0" borderId="0"/>
    <xf numFmtId="43" fontId="6" fillId="0" borderId="0" applyFont="0" applyFill="0" applyBorder="0" applyAlignment="0" applyProtection="0"/>
    <xf numFmtId="44" fontId="6" fillId="0" borderId="0" applyFont="0" applyFill="0" applyBorder="0" applyAlignment="0" applyProtection="0"/>
    <xf numFmtId="0" fontId="7" fillId="0" borderId="0" applyNumberFormat="0" applyFill="0" applyBorder="0" applyAlignment="0" applyProtection="0">
      <alignment vertical="top"/>
      <protection locked="0"/>
    </xf>
    <xf numFmtId="9" fontId="6" fillId="0" borderId="0" applyFont="0" applyFill="0" applyBorder="0" applyAlignment="0" applyProtection="0"/>
  </cellStyleXfs>
  <cellXfs count="305">
    <xf numFmtId="0" fontId="0" fillId="0" borderId="0" xfId="0"/>
    <xf numFmtId="0" fontId="8" fillId="2" borderId="0" xfId="0" applyFont="1" applyFill="1"/>
    <xf numFmtId="0" fontId="9" fillId="2" borderId="0" xfId="0" applyFont="1" applyFill="1" applyBorder="1" applyAlignment="1"/>
    <xf numFmtId="0" fontId="9" fillId="2" borderId="0" xfId="0" applyFont="1" applyFill="1" applyBorder="1" applyAlignment="1">
      <alignment horizontal="right"/>
    </xf>
    <xf numFmtId="0" fontId="8" fillId="2" borderId="0" xfId="0" applyFont="1" applyFill="1" applyBorder="1" applyAlignment="1">
      <alignment horizontal="right"/>
    </xf>
    <xf numFmtId="0" fontId="8" fillId="2" borderId="0" xfId="0" applyFont="1" applyFill="1" applyAlignment="1">
      <alignment horizontal="right"/>
    </xf>
    <xf numFmtId="0" fontId="9" fillId="2" borderId="0" xfId="0" applyFont="1" applyFill="1" applyBorder="1" applyAlignment="1">
      <alignment horizontal="left"/>
    </xf>
    <xf numFmtId="0" fontId="8" fillId="2" borderId="0" xfId="0" applyFont="1" applyFill="1" applyBorder="1"/>
    <xf numFmtId="0" fontId="8" fillId="2" borderId="0" xfId="0" applyFont="1" applyFill="1" applyBorder="1" applyAlignment="1">
      <alignment horizontal="center"/>
    </xf>
    <xf numFmtId="0" fontId="9" fillId="2" borderId="0" xfId="0" applyFont="1" applyFill="1" applyAlignment="1">
      <alignment horizontal="right"/>
    </xf>
    <xf numFmtId="0" fontId="9" fillId="2" borderId="0" xfId="0" applyFont="1" applyFill="1"/>
    <xf numFmtId="0" fontId="8" fillId="2" borderId="0" xfId="0" applyFont="1" applyFill="1" applyAlignment="1"/>
    <xf numFmtId="0" fontId="8" fillId="2" borderId="7" xfId="0" applyFont="1" applyFill="1" applyBorder="1"/>
    <xf numFmtId="0" fontId="12" fillId="2" borderId="0" xfId="0" applyFont="1" applyFill="1" applyBorder="1" applyAlignment="1">
      <alignment horizontal="center" vertical="center" wrapText="1"/>
    </xf>
    <xf numFmtId="0" fontId="1" fillId="2" borderId="10" xfId="0" applyFont="1" applyFill="1" applyBorder="1" applyAlignment="1" applyProtection="1">
      <alignment horizontal="right"/>
    </xf>
    <xf numFmtId="166" fontId="8" fillId="2" borderId="0" xfId="2" applyNumberFormat="1" applyFont="1" applyFill="1" applyBorder="1" applyAlignment="1">
      <alignment horizontal="right"/>
    </xf>
    <xf numFmtId="166" fontId="8" fillId="2" borderId="0" xfId="0" applyNumberFormat="1" applyFont="1" applyFill="1" applyBorder="1"/>
    <xf numFmtId="0" fontId="8" fillId="2" borderId="0" xfId="0" applyFont="1" applyFill="1" applyBorder="1" applyAlignment="1">
      <alignment horizontal="left"/>
    </xf>
    <xf numFmtId="0" fontId="13" fillId="2" borderId="23" xfId="0" applyFont="1" applyFill="1" applyBorder="1" applyAlignment="1">
      <alignment horizontal="right"/>
    </xf>
    <xf numFmtId="0" fontId="13" fillId="2" borderId="24" xfId="0" applyFont="1" applyFill="1" applyBorder="1" applyAlignment="1">
      <alignment horizontal="right"/>
    </xf>
    <xf numFmtId="0" fontId="13" fillId="2" borderId="0" xfId="0" applyFont="1" applyFill="1" applyAlignment="1">
      <alignment horizontal="right"/>
    </xf>
    <xf numFmtId="0" fontId="14" fillId="2" borderId="0" xfId="0" applyFont="1" applyFill="1"/>
    <xf numFmtId="0" fontId="14" fillId="2" borderId="0" xfId="0" applyFont="1" applyFill="1" applyBorder="1" applyAlignment="1"/>
    <xf numFmtId="0" fontId="13" fillId="2" borderId="0" xfId="0" applyFont="1" applyFill="1" applyBorder="1"/>
    <xf numFmtId="0" fontId="13" fillId="2" borderId="0" xfId="0" applyFont="1" applyFill="1"/>
    <xf numFmtId="0" fontId="5" fillId="2" borderId="0" xfId="0" applyNumberFormat="1" applyFont="1" applyFill="1" applyBorder="1" applyAlignment="1"/>
    <xf numFmtId="0" fontId="2" fillId="2" borderId="0" xfId="0" applyFont="1" applyFill="1" applyAlignment="1">
      <alignment horizontal="center"/>
    </xf>
    <xf numFmtId="0" fontId="1" fillId="2" borderId="0" xfId="0" applyFont="1" applyFill="1" applyBorder="1" applyAlignment="1">
      <alignment horizontal="right"/>
    </xf>
    <xf numFmtId="0" fontId="8" fillId="2" borderId="27" xfId="0" applyFont="1" applyFill="1" applyBorder="1"/>
    <xf numFmtId="0" fontId="8" fillId="2" borderId="31" xfId="0" applyFont="1" applyFill="1" applyBorder="1"/>
    <xf numFmtId="0" fontId="8" fillId="2" borderId="26" xfId="0" applyFont="1" applyFill="1" applyBorder="1"/>
    <xf numFmtId="0" fontId="1" fillId="2" borderId="26" xfId="0" applyFont="1" applyFill="1" applyBorder="1" applyAlignment="1">
      <alignment horizontal="right"/>
    </xf>
    <xf numFmtId="0" fontId="8" fillId="2" borderId="27" xfId="0" applyFont="1" applyFill="1" applyBorder="1" applyAlignment="1"/>
    <xf numFmtId="0" fontId="17" fillId="2" borderId="0" xfId="0" applyFont="1" applyFill="1" applyBorder="1" applyAlignment="1">
      <alignment vertical="top" wrapText="1"/>
    </xf>
    <xf numFmtId="0" fontId="17" fillId="2" borderId="26" xfId="0" applyFont="1" applyFill="1" applyBorder="1" applyAlignment="1">
      <alignment vertical="top" wrapText="1"/>
    </xf>
    <xf numFmtId="0" fontId="14" fillId="2" borderId="0" xfId="0" applyFont="1" applyFill="1" applyBorder="1"/>
    <xf numFmtId="0" fontId="17" fillId="2" borderId="31" xfId="0" applyFont="1" applyFill="1" applyBorder="1" applyAlignment="1">
      <alignment vertical="top"/>
    </xf>
    <xf numFmtId="0" fontId="18" fillId="0" borderId="33" xfId="0" applyFont="1" applyBorder="1" applyAlignment="1">
      <alignment vertical="center" wrapText="1"/>
    </xf>
    <xf numFmtId="0" fontId="18" fillId="0" borderId="34" xfId="0" applyFont="1" applyBorder="1" applyAlignment="1">
      <alignment vertical="center" wrapText="1"/>
    </xf>
    <xf numFmtId="0" fontId="13" fillId="0" borderId="34" xfId="0" applyFont="1" applyBorder="1" applyAlignment="1">
      <alignment vertical="center" wrapText="1"/>
    </xf>
    <xf numFmtId="0" fontId="13" fillId="0" borderId="35" xfId="0" applyFont="1" applyBorder="1" applyAlignment="1">
      <alignment vertical="center" wrapText="1"/>
    </xf>
    <xf numFmtId="0" fontId="9" fillId="2" borderId="0" xfId="0" applyFont="1" applyFill="1" applyBorder="1" applyAlignment="1">
      <alignment horizontal="center"/>
    </xf>
    <xf numFmtId="0" fontId="0" fillId="0" borderId="0" xfId="0" applyNumberFormat="1"/>
    <xf numFmtId="169" fontId="8" fillId="6" borderId="10" xfId="0" applyNumberFormat="1" applyFont="1" applyFill="1" applyBorder="1" applyAlignment="1"/>
    <xf numFmtId="167" fontId="8" fillId="6" borderId="11" xfId="4" applyNumberFormat="1" applyFont="1" applyFill="1" applyBorder="1" applyAlignment="1">
      <alignment horizontal="center"/>
    </xf>
    <xf numFmtId="0" fontId="8" fillId="6" borderId="30" xfId="0" applyNumberFormat="1" applyFont="1" applyFill="1" applyBorder="1" applyAlignment="1">
      <alignment horizontal="center"/>
    </xf>
    <xf numFmtId="0" fontId="8" fillId="6" borderId="11" xfId="0" applyNumberFormat="1" applyFont="1" applyFill="1" applyBorder="1" applyAlignment="1">
      <alignment horizontal="center"/>
    </xf>
    <xf numFmtId="0" fontId="8" fillId="2" borderId="0" xfId="0" applyFont="1" applyFill="1" applyBorder="1" applyAlignment="1"/>
    <xf numFmtId="0" fontId="12" fillId="2" borderId="7" xfId="0" applyFont="1" applyFill="1" applyBorder="1" applyAlignment="1">
      <alignment horizontal="center" wrapText="1"/>
    </xf>
    <xf numFmtId="0" fontId="11" fillId="2" borderId="26" xfId="0" applyFont="1" applyFill="1" applyBorder="1" applyAlignment="1">
      <alignment horizontal="center" vertical="center"/>
    </xf>
    <xf numFmtId="165" fontId="8" fillId="6" borderId="1" xfId="1" applyNumberFormat="1" applyFont="1" applyFill="1" applyBorder="1"/>
    <xf numFmtId="165" fontId="8" fillId="6" borderId="2" xfId="1" applyNumberFormat="1" applyFont="1" applyFill="1" applyBorder="1"/>
    <xf numFmtId="165" fontId="8" fillId="6" borderId="3" xfId="1" applyNumberFormat="1" applyFont="1" applyFill="1" applyBorder="1"/>
    <xf numFmtId="0" fontId="12" fillId="2" borderId="42" xfId="0" applyFont="1" applyFill="1" applyBorder="1" applyAlignment="1">
      <alignment horizontal="center" vertical="center" wrapText="1"/>
    </xf>
    <xf numFmtId="0" fontId="12" fillId="2" borderId="3" xfId="0" applyFont="1" applyFill="1" applyBorder="1" applyAlignment="1">
      <alignment horizontal="center" vertical="center" wrapText="1"/>
    </xf>
    <xf numFmtId="0" fontId="12" fillId="2" borderId="43" xfId="0" applyFont="1" applyFill="1" applyBorder="1" applyAlignment="1">
      <alignment horizontal="center" vertical="center" wrapText="1"/>
    </xf>
    <xf numFmtId="164" fontId="8" fillId="3" borderId="29" xfId="0" applyNumberFormat="1" applyFont="1" applyFill="1" applyBorder="1" applyAlignment="1">
      <alignment horizontal="center"/>
    </xf>
    <xf numFmtId="165" fontId="8" fillId="6" borderId="41" xfId="1" applyNumberFormat="1" applyFont="1" applyFill="1" applyBorder="1"/>
    <xf numFmtId="0" fontId="2" fillId="2" borderId="26" xfId="0" applyFont="1" applyFill="1" applyBorder="1" applyAlignment="1"/>
    <xf numFmtId="0" fontId="12" fillId="2" borderId="7" xfId="0" applyFont="1" applyFill="1" applyBorder="1" applyAlignment="1">
      <alignment wrapText="1"/>
    </xf>
    <xf numFmtId="165" fontId="8" fillId="6" borderId="19" xfId="1" applyNumberFormat="1" applyFont="1" applyFill="1" applyBorder="1" applyAlignment="1">
      <alignment horizontal="right"/>
    </xf>
    <xf numFmtId="165" fontId="8" fillId="6" borderId="2" xfId="1" applyNumberFormat="1" applyFont="1" applyFill="1" applyBorder="1" applyAlignment="1">
      <alignment horizontal="right"/>
    </xf>
    <xf numFmtId="0" fontId="21" fillId="5" borderId="0" xfId="0" applyFont="1" applyFill="1" applyBorder="1" applyAlignment="1">
      <alignment vertical="center" wrapText="1"/>
    </xf>
    <xf numFmtId="0" fontId="20" fillId="5" borderId="0" xfId="0" applyFont="1" applyFill="1" applyBorder="1" applyAlignment="1">
      <alignment vertical="center"/>
    </xf>
    <xf numFmtId="168" fontId="20" fillId="5" borderId="0" xfId="0" applyNumberFormat="1" applyFont="1" applyFill="1" applyBorder="1" applyAlignment="1">
      <alignment horizontal="left" vertical="center"/>
    </xf>
    <xf numFmtId="0" fontId="21" fillId="7" borderId="0" xfId="0" applyFont="1" applyFill="1" applyBorder="1" applyAlignment="1">
      <alignment horizontal="center" vertical="center" wrapText="1"/>
    </xf>
    <xf numFmtId="0" fontId="21" fillId="8" borderId="0" xfId="0" applyFont="1" applyFill="1" applyBorder="1" applyAlignment="1">
      <alignment horizontal="center" vertical="center" wrapText="1"/>
    </xf>
    <xf numFmtId="0" fontId="12" fillId="2" borderId="0" xfId="0" applyFont="1" applyFill="1" applyBorder="1" applyAlignment="1">
      <alignment horizontal="center" wrapText="1"/>
    </xf>
    <xf numFmtId="0" fontId="1" fillId="2" borderId="0" xfId="0" applyFont="1" applyFill="1" applyBorder="1" applyAlignment="1">
      <alignment horizontal="right" wrapText="1"/>
    </xf>
    <xf numFmtId="0" fontId="8" fillId="2" borderId="0" xfId="0" applyFont="1" applyFill="1" applyProtection="1">
      <protection locked="0"/>
    </xf>
    <xf numFmtId="0" fontId="8" fillId="2" borderId="0" xfId="0" applyFont="1" applyFill="1" applyBorder="1" applyProtection="1">
      <protection locked="0"/>
    </xf>
    <xf numFmtId="165" fontId="8" fillId="7" borderId="2" xfId="1" applyNumberFormat="1" applyFont="1" applyFill="1" applyBorder="1" applyAlignment="1" applyProtection="1">
      <alignment horizontal="right"/>
      <protection locked="0"/>
    </xf>
    <xf numFmtId="165" fontId="8" fillId="7" borderId="6" xfId="1" applyNumberFormat="1" applyFont="1" applyFill="1" applyBorder="1" applyAlignment="1" applyProtection="1">
      <alignment horizontal="center"/>
      <protection locked="0"/>
    </xf>
    <xf numFmtId="169" fontId="8" fillId="7" borderId="19" xfId="1" applyNumberFormat="1" applyFont="1" applyFill="1" applyBorder="1" applyAlignment="1" applyProtection="1">
      <alignment horizontal="right"/>
      <protection locked="0"/>
    </xf>
    <xf numFmtId="165" fontId="8" fillId="7" borderId="6" xfId="0" applyNumberFormat="1" applyFont="1" applyFill="1" applyBorder="1" applyAlignment="1" applyProtection="1">
      <alignment horizontal="center"/>
      <protection locked="0"/>
    </xf>
    <xf numFmtId="0" fontId="9" fillId="7" borderId="10" xfId="0" applyFont="1" applyFill="1" applyBorder="1" applyProtection="1">
      <protection locked="0"/>
    </xf>
    <xf numFmtId="0" fontId="9" fillId="7" borderId="10" xfId="0" applyFont="1" applyFill="1" applyBorder="1" applyAlignment="1" applyProtection="1">
      <alignment vertical="center" wrapText="1"/>
      <protection locked="0"/>
    </xf>
    <xf numFmtId="0" fontId="9" fillId="2" borderId="0" xfId="0" applyFont="1" applyFill="1" applyAlignment="1" applyProtection="1">
      <alignment horizontal="right"/>
      <protection locked="0"/>
    </xf>
    <xf numFmtId="0" fontId="9" fillId="2" borderId="0" xfId="0" applyFont="1" applyFill="1" applyBorder="1" applyAlignment="1" applyProtection="1">
      <alignment horizontal="center"/>
      <protection locked="0"/>
    </xf>
    <xf numFmtId="0" fontId="8" fillId="2" borderId="0" xfId="0" applyFont="1" applyFill="1" applyProtection="1"/>
    <xf numFmtId="0" fontId="15" fillId="2" borderId="0" xfId="0" applyFont="1" applyFill="1" applyBorder="1" applyAlignment="1" applyProtection="1"/>
    <xf numFmtId="0" fontId="8" fillId="2" borderId="0" xfId="0" applyFont="1" applyFill="1" applyBorder="1" applyProtection="1"/>
    <xf numFmtId="0" fontId="9" fillId="2" borderId="0" xfId="0" applyFont="1" applyFill="1" applyBorder="1" applyAlignment="1" applyProtection="1"/>
    <xf numFmtId="0" fontId="9" fillId="2" borderId="0" xfId="0" applyFont="1" applyFill="1" applyBorder="1" applyAlignment="1" applyProtection="1">
      <alignment horizontal="right"/>
    </xf>
    <xf numFmtId="0" fontId="8" fillId="2" borderId="0" xfId="0" applyNumberFormat="1" applyFont="1" applyFill="1" applyProtection="1"/>
    <xf numFmtId="0" fontId="8" fillId="2" borderId="0" xfId="0" applyFont="1" applyFill="1" applyBorder="1" applyAlignment="1" applyProtection="1">
      <alignment horizontal="right"/>
    </xf>
    <xf numFmtId="0" fontId="10" fillId="2" borderId="0" xfId="0" applyFont="1" applyFill="1" applyBorder="1" applyProtection="1"/>
    <xf numFmtId="0" fontId="2" fillId="2" borderId="38" xfId="0" applyFont="1" applyFill="1" applyBorder="1" applyAlignment="1" applyProtection="1">
      <alignment horizontal="center"/>
    </xf>
    <xf numFmtId="0" fontId="8" fillId="0" borderId="38" xfId="0" applyFont="1" applyBorder="1" applyAlignment="1" applyProtection="1"/>
    <xf numFmtId="0" fontId="8" fillId="2" borderId="0" xfId="0" applyFont="1" applyFill="1" applyAlignment="1" applyProtection="1">
      <alignment horizontal="right"/>
    </xf>
    <xf numFmtId="0" fontId="9" fillId="2" borderId="0" xfId="0" applyFont="1" applyFill="1" applyAlignment="1" applyProtection="1">
      <alignment horizontal="center"/>
    </xf>
    <xf numFmtId="0" fontId="1" fillId="2" borderId="0" xfId="0" applyFont="1" applyFill="1" applyAlignment="1" applyProtection="1">
      <alignment horizontal="right"/>
    </xf>
    <xf numFmtId="165" fontId="8" fillId="6" borderId="17" xfId="1" applyNumberFormat="1" applyFont="1" applyFill="1" applyBorder="1" applyProtection="1"/>
    <xf numFmtId="165" fontId="8" fillId="6" borderId="39" xfId="0" applyNumberFormat="1" applyFont="1" applyFill="1" applyBorder="1" applyProtection="1"/>
    <xf numFmtId="165" fontId="8" fillId="6" borderId="12" xfId="1" applyNumberFormat="1" applyFont="1" applyFill="1" applyBorder="1" applyProtection="1"/>
    <xf numFmtId="0" fontId="8" fillId="2" borderId="0" xfId="0" applyFont="1" applyFill="1" applyAlignment="1" applyProtection="1">
      <alignment horizontal="left"/>
    </xf>
    <xf numFmtId="165" fontId="8" fillId="6" borderId="40" xfId="1" applyNumberFormat="1" applyFont="1" applyFill="1" applyBorder="1" applyProtection="1"/>
    <xf numFmtId="0" fontId="8" fillId="2" borderId="0" xfId="0" applyFont="1" applyFill="1" applyBorder="1" applyAlignment="1" applyProtection="1"/>
    <xf numFmtId="0" fontId="9" fillId="2" borderId="22" xfId="0" applyFont="1" applyFill="1" applyBorder="1" applyAlignment="1" applyProtection="1">
      <alignment horizontal="center" wrapText="1"/>
    </xf>
    <xf numFmtId="0" fontId="9" fillId="2" borderId="32" xfId="0" applyFont="1" applyFill="1" applyBorder="1" applyAlignment="1" applyProtection="1">
      <alignment horizontal="center" wrapText="1"/>
    </xf>
    <xf numFmtId="0" fontId="8" fillId="2" borderId="5" xfId="0" applyFont="1" applyFill="1" applyBorder="1" applyProtection="1"/>
    <xf numFmtId="0" fontId="9" fillId="2" borderId="6" xfId="0" applyFont="1" applyFill="1" applyBorder="1" applyAlignment="1" applyProtection="1">
      <alignment horizontal="right"/>
    </xf>
    <xf numFmtId="0" fontId="9" fillId="2" borderId="4" xfId="0" applyFont="1" applyFill="1" applyBorder="1" applyAlignment="1" applyProtection="1">
      <alignment horizontal="center" wrapText="1"/>
    </xf>
    <xf numFmtId="0" fontId="8" fillId="2" borderId="10" xfId="0" applyFont="1" applyFill="1" applyBorder="1" applyAlignment="1" applyProtection="1">
      <alignment horizontal="right"/>
    </xf>
    <xf numFmtId="169" fontId="8" fillId="2" borderId="0" xfId="0" applyNumberFormat="1" applyFont="1" applyFill="1" applyAlignment="1" applyProtection="1">
      <alignment horizontal="right"/>
    </xf>
    <xf numFmtId="164" fontId="8" fillId="4" borderId="21" xfId="0" applyNumberFormat="1" applyFont="1" applyFill="1" applyBorder="1" applyAlignment="1" applyProtection="1">
      <alignment horizontal="center"/>
    </xf>
    <xf numFmtId="164" fontId="8" fillId="4" borderId="22" xfId="0" applyNumberFormat="1" applyFont="1" applyFill="1" applyBorder="1" applyAlignment="1" applyProtection="1">
      <alignment horizontal="center"/>
    </xf>
    <xf numFmtId="0" fontId="9" fillId="2" borderId="11" xfId="0" applyFont="1" applyFill="1" applyBorder="1" applyProtection="1"/>
    <xf numFmtId="165" fontId="9" fillId="6" borderId="9" xfId="0" applyNumberFormat="1" applyFont="1" applyFill="1" applyBorder="1" applyAlignment="1" applyProtection="1">
      <alignment horizontal="center"/>
    </xf>
    <xf numFmtId="169" fontId="9" fillId="6" borderId="2" xfId="1" applyNumberFormat="1" applyFont="1" applyFill="1" applyBorder="1" applyAlignment="1" applyProtection="1">
      <alignment horizontal="right"/>
    </xf>
    <xf numFmtId="0" fontId="9" fillId="2" borderId="0" xfId="0" applyFont="1" applyFill="1" applyBorder="1" applyProtection="1"/>
    <xf numFmtId="165" fontId="9" fillId="2" borderId="0" xfId="0" applyNumberFormat="1" applyFont="1" applyFill="1" applyBorder="1" applyAlignment="1" applyProtection="1">
      <alignment horizontal="center"/>
    </xf>
    <xf numFmtId="165" fontId="9" fillId="2" borderId="0" xfId="1" applyNumberFormat="1" applyFont="1" applyFill="1" applyBorder="1" applyAlignment="1" applyProtection="1">
      <alignment horizontal="center"/>
    </xf>
    <xf numFmtId="0" fontId="9" fillId="2" borderId="0" xfId="0" applyFont="1" applyFill="1" applyAlignment="1" applyProtection="1">
      <alignment horizontal="right"/>
    </xf>
    <xf numFmtId="0" fontId="9" fillId="2" borderId="0" xfId="0" applyFont="1" applyFill="1" applyBorder="1" applyAlignment="1" applyProtection="1">
      <alignment horizontal="center"/>
    </xf>
    <xf numFmtId="169" fontId="8" fillId="7" borderId="10" xfId="0" applyNumberFormat="1" applyFont="1" applyFill="1" applyBorder="1" applyAlignment="1" applyProtection="1">
      <protection locked="0"/>
    </xf>
    <xf numFmtId="165" fontId="8" fillId="7" borderId="9" xfId="1" applyNumberFormat="1" applyFont="1" applyFill="1" applyBorder="1" applyAlignment="1" applyProtection="1">
      <alignment horizontal="center"/>
      <protection locked="0"/>
    </xf>
    <xf numFmtId="165" fontId="8" fillId="7" borderId="20" xfId="1" applyNumberFormat="1" applyFont="1" applyFill="1" applyBorder="1" applyAlignment="1" applyProtection="1">
      <protection locked="0"/>
    </xf>
    <xf numFmtId="165" fontId="8" fillId="7" borderId="12" xfId="1" applyNumberFormat="1" applyFont="1" applyFill="1" applyBorder="1" applyAlignment="1" applyProtection="1">
      <protection locked="0"/>
    </xf>
    <xf numFmtId="165" fontId="8" fillId="7" borderId="6" xfId="1" applyNumberFormat="1" applyFont="1" applyFill="1" applyBorder="1" applyAlignment="1" applyProtection="1">
      <protection locked="0"/>
    </xf>
    <xf numFmtId="165" fontId="8" fillId="7" borderId="19" xfId="1" applyNumberFormat="1" applyFont="1" applyFill="1" applyBorder="1" applyProtection="1">
      <protection locked="0"/>
    </xf>
    <xf numFmtId="165" fontId="8" fillId="7" borderId="2" xfId="1" applyNumberFormat="1" applyFont="1" applyFill="1" applyBorder="1" applyProtection="1">
      <protection locked="0"/>
    </xf>
    <xf numFmtId="165" fontId="8" fillId="6" borderId="19" xfId="1" applyNumberFormat="1" applyFont="1" applyFill="1" applyBorder="1"/>
    <xf numFmtId="0" fontId="8" fillId="2" borderId="0" xfId="0" applyFont="1" applyFill="1" applyAlignment="1" applyProtection="1">
      <alignment horizontal="center"/>
      <protection locked="0"/>
    </xf>
    <xf numFmtId="0" fontId="5" fillId="2" borderId="0" xfId="0" applyNumberFormat="1" applyFont="1" applyFill="1" applyBorder="1" applyAlignment="1" applyProtection="1">
      <protection locked="0"/>
    </xf>
    <xf numFmtId="0" fontId="24" fillId="2" borderId="0" xfId="0" applyFont="1" applyFill="1" applyBorder="1" applyAlignment="1" applyProtection="1">
      <alignment horizontal="left"/>
      <protection locked="0"/>
    </xf>
    <xf numFmtId="0" fontId="9" fillId="2" borderId="0" xfId="0" applyFont="1" applyFill="1" applyBorder="1" applyAlignment="1" applyProtection="1">
      <alignment horizontal="left"/>
      <protection locked="0"/>
    </xf>
    <xf numFmtId="0" fontId="8" fillId="2" borderId="0" xfId="0" applyFont="1" applyFill="1" applyBorder="1" applyAlignment="1" applyProtection="1">
      <alignment horizontal="center"/>
      <protection locked="0"/>
    </xf>
    <xf numFmtId="0" fontId="2" fillId="2" borderId="0" xfId="0" applyFont="1" applyFill="1" applyAlignment="1" applyProtection="1">
      <alignment horizontal="center"/>
      <protection locked="0"/>
    </xf>
    <xf numFmtId="0" fontId="2" fillId="2" borderId="0" xfId="0" applyFont="1" applyFill="1" applyBorder="1" applyAlignment="1" applyProtection="1">
      <protection locked="0"/>
    </xf>
    <xf numFmtId="0" fontId="12" fillId="2" borderId="0" xfId="0" applyFont="1" applyFill="1" applyAlignment="1" applyProtection="1">
      <alignment horizontal="center"/>
      <protection locked="0"/>
    </xf>
    <xf numFmtId="0" fontId="12" fillId="2" borderId="0" xfId="0" applyFont="1" applyFill="1" applyAlignment="1" applyProtection="1">
      <alignment horizontal="center" wrapText="1"/>
      <protection locked="0"/>
    </xf>
    <xf numFmtId="169" fontId="8" fillId="7" borderId="1" xfId="1" applyNumberFormat="1" applyFont="1" applyFill="1" applyBorder="1" applyProtection="1">
      <protection locked="0"/>
    </xf>
    <xf numFmtId="169" fontId="8" fillId="7" borderId="19" xfId="1" applyNumberFormat="1" applyFont="1" applyFill="1" applyBorder="1" applyProtection="1">
      <protection locked="0"/>
    </xf>
    <xf numFmtId="169" fontId="8" fillId="7" borderId="2" xfId="1" applyNumberFormat="1" applyFont="1" applyFill="1" applyBorder="1" applyProtection="1">
      <protection locked="0"/>
    </xf>
    <xf numFmtId="0" fontId="9" fillId="2" borderId="0" xfId="0" applyFont="1" applyFill="1" applyBorder="1" applyAlignment="1" applyProtection="1">
      <alignment horizontal="left" wrapText="1"/>
      <protection locked="0"/>
    </xf>
    <xf numFmtId="0" fontId="8" fillId="2" borderId="7" xfId="0" applyFont="1" applyFill="1" applyBorder="1" applyProtection="1">
      <protection locked="0"/>
    </xf>
    <xf numFmtId="0" fontId="12" fillId="2" borderId="0" xfId="0" applyFont="1" applyFill="1" applyBorder="1" applyAlignment="1" applyProtection="1">
      <alignment horizontal="center" vertical="center" wrapText="1"/>
      <protection locked="0"/>
    </xf>
    <xf numFmtId="0" fontId="9" fillId="2" borderId="0" xfId="0" applyFont="1" applyFill="1" applyProtection="1">
      <protection locked="0"/>
    </xf>
    <xf numFmtId="0" fontId="2" fillId="2" borderId="0" xfId="0" applyFont="1" applyFill="1" applyAlignment="1" applyProtection="1">
      <alignment horizontal="right" wrapText="1"/>
      <protection locked="0"/>
    </xf>
    <xf numFmtId="0" fontId="2" fillId="2" borderId="0" xfId="0" applyFont="1" applyFill="1" applyAlignment="1" applyProtection="1">
      <alignment horizontal="center" wrapText="1"/>
      <protection locked="0"/>
    </xf>
    <xf numFmtId="0" fontId="8" fillId="2" borderId="27" xfId="0" applyFont="1" applyFill="1" applyBorder="1" applyProtection="1">
      <protection locked="0"/>
    </xf>
    <xf numFmtId="0" fontId="8" fillId="2" borderId="30" xfId="0" applyFont="1" applyFill="1" applyBorder="1" applyProtection="1">
      <protection locked="0"/>
    </xf>
    <xf numFmtId="0" fontId="8" fillId="2" borderId="31" xfId="0" applyFont="1" applyFill="1" applyBorder="1" applyProtection="1">
      <protection locked="0"/>
    </xf>
    <xf numFmtId="0" fontId="8" fillId="2" borderId="26" xfId="0" applyFont="1" applyFill="1" applyBorder="1" applyProtection="1">
      <protection locked="0"/>
    </xf>
    <xf numFmtId="0" fontId="8" fillId="2" borderId="11" xfId="0" applyFont="1" applyFill="1" applyBorder="1" applyProtection="1">
      <protection locked="0"/>
    </xf>
    <xf numFmtId="169" fontId="8" fillId="7" borderId="19" xfId="1" applyNumberFormat="1" applyFont="1" applyFill="1" applyBorder="1" applyProtection="1"/>
    <xf numFmtId="169" fontId="8" fillId="7" borderId="9" xfId="1" applyNumberFormat="1" applyFont="1" applyFill="1" applyBorder="1" applyProtection="1"/>
    <xf numFmtId="9" fontId="2" fillId="6" borderId="30" xfId="0" applyNumberFormat="1" applyFont="1" applyFill="1" applyBorder="1" applyAlignment="1">
      <alignment horizontal="center"/>
    </xf>
    <xf numFmtId="0" fontId="1" fillId="6" borderId="8" xfId="0" applyNumberFormat="1" applyFont="1" applyFill="1" applyBorder="1" applyAlignment="1" applyProtection="1">
      <alignment horizontal="center"/>
    </xf>
    <xf numFmtId="0" fontId="1" fillId="6" borderId="1" xfId="0" applyNumberFormat="1" applyFont="1" applyFill="1" applyBorder="1" applyAlignment="1" applyProtection="1">
      <alignment horizontal="center"/>
    </xf>
    <xf numFmtId="0" fontId="1" fillId="6" borderId="6" xfId="0" applyNumberFormat="1" applyFont="1" applyFill="1" applyBorder="1" applyAlignment="1" applyProtection="1">
      <alignment horizontal="center"/>
    </xf>
    <xf numFmtId="0" fontId="1" fillId="6" borderId="19" xfId="0" applyNumberFormat="1" applyFont="1" applyFill="1" applyBorder="1" applyAlignment="1" applyProtection="1">
      <alignment horizontal="center"/>
    </xf>
    <xf numFmtId="165" fontId="1" fillId="6" borderId="19" xfId="1" applyNumberFormat="1" applyFont="1" applyFill="1" applyBorder="1" applyAlignment="1" applyProtection="1">
      <alignment horizontal="right"/>
    </xf>
    <xf numFmtId="0" fontId="1" fillId="6" borderId="9" xfId="0" applyNumberFormat="1" applyFont="1" applyFill="1" applyBorder="1" applyAlignment="1" applyProtection="1">
      <alignment horizontal="center"/>
    </xf>
    <xf numFmtId="0" fontId="1" fillId="6" borderId="2" xfId="0" applyNumberFormat="1" applyFont="1" applyFill="1" applyBorder="1" applyAlignment="1" applyProtection="1">
      <alignment horizontal="center"/>
    </xf>
    <xf numFmtId="165" fontId="1" fillId="6" borderId="2" xfId="1" applyNumberFormat="1" applyFont="1" applyFill="1" applyBorder="1" applyAlignment="1" applyProtection="1">
      <alignment horizontal="center"/>
    </xf>
    <xf numFmtId="165" fontId="8" fillId="6" borderId="1" xfId="1" applyNumberFormat="1" applyFont="1" applyFill="1" applyBorder="1" applyAlignment="1" applyProtection="1"/>
    <xf numFmtId="165" fontId="8" fillId="6" borderId="19" xfId="1" applyNumberFormat="1" applyFont="1" applyFill="1" applyBorder="1" applyAlignment="1" applyProtection="1"/>
    <xf numFmtId="165" fontId="8" fillId="6" borderId="2" xfId="1" applyNumberFormat="1" applyFont="1" applyFill="1" applyBorder="1" applyAlignment="1" applyProtection="1"/>
    <xf numFmtId="0" fontId="1" fillId="6" borderId="1" xfId="0" applyFont="1" applyFill="1" applyBorder="1" applyAlignment="1" applyProtection="1">
      <alignment horizontal="center"/>
    </xf>
    <xf numFmtId="0" fontId="1" fillId="6" borderId="6" xfId="0" applyFont="1" applyFill="1" applyBorder="1" applyAlignment="1" applyProtection="1">
      <alignment horizontal="center"/>
    </xf>
    <xf numFmtId="0" fontId="1" fillId="6" borderId="19" xfId="0" applyFont="1" applyFill="1" applyBorder="1" applyAlignment="1" applyProtection="1">
      <alignment horizontal="center"/>
    </xf>
    <xf numFmtId="0" fontId="1" fillId="6" borderId="19" xfId="0" applyFont="1" applyFill="1" applyBorder="1" applyAlignment="1" applyProtection="1">
      <alignment horizontal="right"/>
    </xf>
    <xf numFmtId="0" fontId="1" fillId="6" borderId="9" xfId="0" applyFont="1" applyFill="1" applyBorder="1" applyAlignment="1" applyProtection="1">
      <alignment horizontal="center"/>
    </xf>
    <xf numFmtId="0" fontId="1" fillId="6" borderId="2" xfId="0" applyFont="1" applyFill="1" applyBorder="1" applyAlignment="1" applyProtection="1">
      <alignment horizontal="center"/>
    </xf>
    <xf numFmtId="0" fontId="1" fillId="6" borderId="2" xfId="0" applyFont="1" applyFill="1" applyBorder="1" applyAlignment="1" applyProtection="1">
      <alignment horizontal="right"/>
    </xf>
    <xf numFmtId="165" fontId="1" fillId="6" borderId="2" xfId="1" applyNumberFormat="1" applyFont="1" applyFill="1" applyBorder="1" applyAlignment="1" applyProtection="1">
      <alignment horizontal="right"/>
    </xf>
    <xf numFmtId="1" fontId="1" fillId="6" borderId="20" xfId="0" applyNumberFormat="1" applyFont="1" applyFill="1" applyBorder="1" applyAlignment="1" applyProtection="1">
      <alignment horizontal="right"/>
    </xf>
    <xf numFmtId="1" fontId="1" fillId="6" borderId="15" xfId="0" applyNumberFormat="1" applyFont="1" applyFill="1" applyBorder="1" applyAlignment="1" applyProtection="1">
      <alignment horizontal="right"/>
    </xf>
    <xf numFmtId="165" fontId="8" fillId="7" borderId="6" xfId="1" applyNumberFormat="1" applyFont="1" applyFill="1" applyBorder="1" applyAlignment="1" applyProtection="1">
      <alignment horizontal="center"/>
      <protection locked="0"/>
    </xf>
    <xf numFmtId="165" fontId="8" fillId="7" borderId="9" xfId="1" applyNumberFormat="1" applyFont="1" applyFill="1" applyBorder="1" applyAlignment="1" applyProtection="1">
      <alignment horizontal="center"/>
      <protection locked="0"/>
    </xf>
    <xf numFmtId="165" fontId="8" fillId="7" borderId="8" xfId="1" applyNumberFormat="1" applyFont="1" applyFill="1" applyBorder="1" applyAlignment="1" applyProtection="1">
      <alignment horizontal="center"/>
      <protection locked="0"/>
    </xf>
    <xf numFmtId="3" fontId="8" fillId="7" borderId="10" xfId="0" applyNumberFormat="1" applyFont="1" applyFill="1" applyBorder="1" applyAlignment="1" applyProtection="1">
      <alignment horizontal="center"/>
      <protection locked="0"/>
    </xf>
    <xf numFmtId="165" fontId="8" fillId="7" borderId="2" xfId="1" applyNumberFormat="1" applyFont="1" applyFill="1" applyBorder="1" applyAlignment="1" applyProtection="1">
      <alignment horizontal="center"/>
      <protection locked="0"/>
    </xf>
    <xf numFmtId="165" fontId="8" fillId="7" borderId="19" xfId="1" applyNumberFormat="1" applyFont="1" applyFill="1" applyBorder="1" applyAlignment="1" applyProtection="1">
      <protection locked="0"/>
    </xf>
    <xf numFmtId="165" fontId="8" fillId="7" borderId="2" xfId="1" applyNumberFormat="1" applyFont="1" applyFill="1" applyBorder="1" applyAlignment="1" applyProtection="1">
      <protection locked="0"/>
    </xf>
    <xf numFmtId="0" fontId="1" fillId="6" borderId="8" xfId="0" applyFont="1" applyFill="1" applyBorder="1" applyAlignment="1" applyProtection="1"/>
    <xf numFmtId="0" fontId="1" fillId="6" borderId="6" xfId="0" applyFont="1" applyFill="1" applyBorder="1" applyAlignment="1" applyProtection="1"/>
    <xf numFmtId="165" fontId="1" fillId="6" borderId="1" xfId="1" applyNumberFormat="1" applyFont="1" applyFill="1" applyBorder="1" applyAlignment="1" applyProtection="1">
      <alignment horizontal="center"/>
    </xf>
    <xf numFmtId="165" fontId="1" fillId="6" borderId="19" xfId="1" applyNumberFormat="1" applyFont="1" applyFill="1" applyBorder="1" applyAlignment="1" applyProtection="1">
      <alignment horizontal="center"/>
    </xf>
    <xf numFmtId="0" fontId="2" fillId="2" borderId="26" xfId="0" applyFont="1" applyFill="1" applyBorder="1" applyAlignment="1">
      <alignment horizontal="center"/>
    </xf>
    <xf numFmtId="0" fontId="1" fillId="7" borderId="8" xfId="0" applyFont="1" applyFill="1" applyBorder="1" applyAlignment="1" applyProtection="1">
      <alignment horizontal="center"/>
      <protection locked="0"/>
    </xf>
    <xf numFmtId="0" fontId="1" fillId="7" borderId="6" xfId="0" applyFont="1" applyFill="1" applyBorder="1" applyAlignment="1" applyProtection="1">
      <alignment horizontal="center"/>
      <protection locked="0"/>
    </xf>
    <xf numFmtId="0" fontId="8" fillId="7" borderId="6" xfId="0" applyFont="1" applyFill="1" applyBorder="1" applyAlignment="1" applyProtection="1">
      <alignment horizontal="center"/>
      <protection locked="0"/>
    </xf>
    <xf numFmtId="0" fontId="8" fillId="7" borderId="9" xfId="0" applyFont="1" applyFill="1" applyBorder="1" applyAlignment="1" applyProtection="1">
      <alignment horizontal="center"/>
      <protection locked="0"/>
    </xf>
    <xf numFmtId="0" fontId="1" fillId="7" borderId="6" xfId="0" applyFont="1" applyFill="1" applyBorder="1" applyAlignment="1" applyProtection="1">
      <alignment horizontal="center" wrapText="1"/>
      <protection locked="0"/>
    </xf>
    <xf numFmtId="0" fontId="1" fillId="7" borderId="8" xfId="0" applyFont="1" applyFill="1" applyBorder="1" applyAlignment="1" applyProtection="1">
      <alignment horizontal="left"/>
      <protection locked="0"/>
    </xf>
    <xf numFmtId="0" fontId="1" fillId="7" borderId="6" xfId="0" applyFont="1" applyFill="1" applyBorder="1" applyAlignment="1" applyProtection="1">
      <alignment horizontal="left"/>
      <protection locked="0"/>
    </xf>
    <xf numFmtId="0" fontId="1" fillId="7" borderId="6" xfId="0" applyFont="1" applyFill="1" applyBorder="1" applyAlignment="1" applyProtection="1">
      <alignment horizontal="left" wrapText="1"/>
      <protection locked="0"/>
    </xf>
    <xf numFmtId="0" fontId="8" fillId="7" borderId="6" xfId="0" applyFont="1" applyFill="1" applyBorder="1" applyAlignment="1" applyProtection="1">
      <alignment horizontal="left"/>
      <protection locked="0"/>
    </xf>
    <xf numFmtId="0" fontId="8" fillId="7" borderId="9" xfId="0" applyFont="1" applyFill="1" applyBorder="1" applyAlignment="1" applyProtection="1">
      <alignment horizontal="left"/>
      <protection locked="0"/>
    </xf>
    <xf numFmtId="0" fontId="8" fillId="7" borderId="8" xfId="0" applyFont="1" applyFill="1" applyBorder="1" applyAlignment="1" applyProtection="1">
      <alignment horizontal="left"/>
      <protection locked="0"/>
    </xf>
    <xf numFmtId="0" fontId="8" fillId="7" borderId="1" xfId="0" applyFont="1" applyFill="1" applyBorder="1" applyAlignment="1" applyProtection="1">
      <alignment horizontal="center"/>
      <protection locked="0"/>
    </xf>
    <xf numFmtId="0" fontId="8" fillId="7" borderId="19" xfId="0" applyFont="1" applyFill="1" applyBorder="1" applyAlignment="1" applyProtection="1">
      <alignment horizontal="center"/>
      <protection locked="0"/>
    </xf>
    <xf numFmtId="1" fontId="8" fillId="7" borderId="1" xfId="1" applyNumberFormat="1" applyFont="1" applyFill="1" applyBorder="1" applyAlignment="1" applyProtection="1">
      <alignment horizontal="center"/>
      <protection locked="0"/>
    </xf>
    <xf numFmtId="1" fontId="8" fillId="7" borderId="19" xfId="1" applyNumberFormat="1" applyFont="1" applyFill="1" applyBorder="1" applyAlignment="1" applyProtection="1">
      <alignment horizontal="center"/>
      <protection locked="0"/>
    </xf>
    <xf numFmtId="0" fontId="9" fillId="7" borderId="19" xfId="0" applyFont="1" applyFill="1" applyBorder="1" applyAlignment="1" applyProtection="1">
      <alignment horizontal="left"/>
      <protection locked="0"/>
    </xf>
    <xf numFmtId="0" fontId="9" fillId="7" borderId="13" xfId="0" applyFont="1" applyFill="1" applyBorder="1" applyAlignment="1" applyProtection="1">
      <alignment horizontal="left"/>
      <protection locked="0"/>
    </xf>
    <xf numFmtId="0" fontId="12" fillId="2" borderId="45" xfId="0" applyFont="1" applyFill="1" applyBorder="1" applyAlignment="1">
      <alignment horizontal="center" vertical="center" wrapText="1"/>
    </xf>
    <xf numFmtId="165" fontId="8" fillId="6" borderId="8" xfId="1" applyNumberFormat="1" applyFont="1" applyFill="1" applyBorder="1"/>
    <xf numFmtId="165" fontId="8" fillId="6" borderId="9" xfId="1" applyNumberFormat="1" applyFont="1" applyFill="1" applyBorder="1"/>
    <xf numFmtId="165" fontId="8" fillId="6" borderId="45" xfId="1" applyNumberFormat="1" applyFont="1" applyFill="1" applyBorder="1"/>
    <xf numFmtId="0" fontId="2" fillId="6" borderId="16" xfId="0" applyFont="1" applyFill="1" applyBorder="1" applyAlignment="1" applyProtection="1">
      <alignment horizontal="center"/>
    </xf>
    <xf numFmtId="165" fontId="2" fillId="6" borderId="16" xfId="1" applyNumberFormat="1" applyFont="1" applyFill="1" applyBorder="1" applyAlignment="1" applyProtection="1">
      <alignment horizontal="right"/>
    </xf>
    <xf numFmtId="169" fontId="2" fillId="6" borderId="16" xfId="0" applyNumberFormat="1" applyFont="1" applyFill="1" applyBorder="1" applyAlignment="1" applyProtection="1">
      <alignment horizontal="right"/>
    </xf>
    <xf numFmtId="0" fontId="2" fillId="6" borderId="16" xfId="0" applyFont="1" applyFill="1" applyBorder="1" applyAlignment="1" applyProtection="1">
      <alignment horizontal="right"/>
    </xf>
    <xf numFmtId="0" fontId="8" fillId="6" borderId="16" xfId="0" applyFont="1" applyFill="1" applyBorder="1" applyProtection="1"/>
    <xf numFmtId="0" fontId="8" fillId="6" borderId="49" xfId="0" applyFont="1" applyFill="1" applyBorder="1" applyAlignment="1" applyProtection="1">
      <alignment horizontal="center"/>
    </xf>
    <xf numFmtId="165" fontId="8" fillId="7" borderId="6" xfId="1" applyNumberFormat="1" applyFont="1" applyFill="1" applyBorder="1" applyAlignment="1" applyProtection="1">
      <alignment horizontal="center"/>
      <protection locked="0"/>
    </xf>
    <xf numFmtId="165" fontId="8" fillId="9" borderId="1" xfId="1" applyNumberFormat="1" applyFont="1" applyFill="1" applyBorder="1" applyAlignment="1" applyProtection="1">
      <protection locked="0"/>
    </xf>
    <xf numFmtId="165" fontId="8" fillId="9" borderId="19" xfId="1" applyNumberFormat="1" applyFont="1" applyFill="1" applyBorder="1" applyAlignment="1" applyProtection="1">
      <protection locked="0"/>
    </xf>
    <xf numFmtId="165" fontId="8" fillId="9" borderId="4" xfId="1" applyNumberFormat="1" applyFont="1" applyFill="1" applyBorder="1" applyAlignment="1" applyProtection="1">
      <protection locked="0"/>
    </xf>
    <xf numFmtId="165" fontId="1" fillId="9" borderId="1" xfId="1" applyNumberFormat="1" applyFont="1" applyFill="1" applyBorder="1" applyAlignment="1" applyProtection="1">
      <alignment horizontal="right"/>
    </xf>
    <xf numFmtId="169" fontId="8" fillId="9" borderId="46" xfId="1" applyNumberFormat="1" applyFont="1" applyFill="1" applyBorder="1" applyProtection="1">
      <protection locked="0"/>
    </xf>
    <xf numFmtId="165" fontId="8" fillId="9" borderId="1" xfId="1" applyNumberFormat="1" applyFont="1" applyFill="1" applyBorder="1" applyAlignment="1" applyProtection="1"/>
    <xf numFmtId="165" fontId="1" fillId="9" borderId="19" xfId="1" applyNumberFormat="1" applyFont="1" applyFill="1" applyBorder="1" applyAlignment="1" applyProtection="1">
      <alignment horizontal="right"/>
    </xf>
    <xf numFmtId="169" fontId="8" fillId="9" borderId="48" xfId="1" applyNumberFormat="1" applyFont="1" applyFill="1" applyBorder="1" applyProtection="1">
      <protection locked="0"/>
    </xf>
    <xf numFmtId="165" fontId="8" fillId="9" borderId="19" xfId="1" applyNumberFormat="1" applyFont="1" applyFill="1" applyBorder="1" applyAlignment="1" applyProtection="1"/>
    <xf numFmtId="169" fontId="8" fillId="9" borderId="19" xfId="1" applyNumberFormat="1" applyFont="1" applyFill="1" applyBorder="1" applyProtection="1">
      <protection locked="0"/>
    </xf>
    <xf numFmtId="169" fontId="8" fillId="9" borderId="4" xfId="1" applyNumberFormat="1" applyFont="1" applyFill="1" applyBorder="1" applyProtection="1">
      <protection locked="0"/>
    </xf>
    <xf numFmtId="5" fontId="8" fillId="9" borderId="19" xfId="1" applyNumberFormat="1" applyFont="1" applyFill="1" applyBorder="1" applyProtection="1">
      <protection locked="0"/>
    </xf>
    <xf numFmtId="169" fontId="1" fillId="9" borderId="1" xfId="1" applyNumberFormat="1" applyFont="1" applyFill="1" applyBorder="1" applyAlignment="1" applyProtection="1">
      <alignment horizontal="right"/>
    </xf>
    <xf numFmtId="1" fontId="1" fillId="9" borderId="14" xfId="0" applyNumberFormat="1" applyFont="1" applyFill="1" applyBorder="1" applyAlignment="1" applyProtection="1">
      <alignment horizontal="right"/>
    </xf>
    <xf numFmtId="169" fontId="1" fillId="9" borderId="47" xfId="1" applyNumberFormat="1" applyFont="1" applyFill="1" applyBorder="1" applyAlignment="1" applyProtection="1">
      <alignment horizontal="right"/>
    </xf>
    <xf numFmtId="1" fontId="1" fillId="9" borderId="20" xfId="0" applyNumberFormat="1" applyFont="1" applyFill="1" applyBorder="1" applyAlignment="1" applyProtection="1">
      <alignment horizontal="right"/>
    </xf>
    <xf numFmtId="169" fontId="1" fillId="9" borderId="19" xfId="1" applyNumberFormat="1" applyFont="1" applyFill="1" applyBorder="1" applyAlignment="1" applyProtection="1">
      <alignment horizontal="right"/>
    </xf>
    <xf numFmtId="169" fontId="1" fillId="9" borderId="48" xfId="1" applyNumberFormat="1" applyFont="1" applyFill="1" applyBorder="1" applyAlignment="1" applyProtection="1">
      <alignment horizontal="right"/>
    </xf>
    <xf numFmtId="169" fontId="2" fillId="9" borderId="16" xfId="0" applyNumberFormat="1" applyFont="1" applyFill="1" applyBorder="1" applyAlignment="1" applyProtection="1">
      <alignment horizontal="right"/>
    </xf>
    <xf numFmtId="165" fontId="8" fillId="6" borderId="18" xfId="1" applyNumberFormat="1" applyFont="1" applyFill="1" applyBorder="1"/>
    <xf numFmtId="164" fontId="8" fillId="10" borderId="44" xfId="0" applyNumberFormat="1" applyFont="1" applyFill="1" applyBorder="1" applyAlignment="1">
      <alignment horizontal="center"/>
    </xf>
    <xf numFmtId="165" fontId="1" fillId="6" borderId="2" xfId="1" applyNumberFormat="1" applyFont="1" applyFill="1" applyBorder="1"/>
    <xf numFmtId="165" fontId="8" fillId="6" borderId="42" xfId="1" applyNumberFormat="1" applyFont="1" applyFill="1" applyBorder="1"/>
    <xf numFmtId="165" fontId="1" fillId="6" borderId="3" xfId="1" applyNumberFormat="1" applyFont="1" applyFill="1" applyBorder="1"/>
    <xf numFmtId="3" fontId="9" fillId="6" borderId="16" xfId="0" applyNumberFormat="1" applyFont="1" applyFill="1" applyBorder="1" applyAlignment="1" applyProtection="1">
      <alignment horizontal="center"/>
    </xf>
    <xf numFmtId="0" fontId="9" fillId="2" borderId="0" xfId="0" applyFont="1" applyFill="1" applyAlignment="1" applyProtection="1">
      <alignment horizontal="left" vertical="top" wrapText="1"/>
    </xf>
    <xf numFmtId="0" fontId="8" fillId="2" borderId="0" xfId="0" applyFont="1" applyFill="1" applyAlignment="1" applyProtection="1">
      <alignment horizontal="left" vertical="top" wrapText="1"/>
      <protection locked="0"/>
    </xf>
    <xf numFmtId="0" fontId="9" fillId="2" borderId="25" xfId="0" applyFont="1" applyFill="1" applyBorder="1" applyAlignment="1" applyProtection="1"/>
    <xf numFmtId="0" fontId="9" fillId="2" borderId="26" xfId="0" applyFont="1" applyFill="1" applyBorder="1" applyAlignment="1" applyProtection="1">
      <alignment horizontal="center"/>
    </xf>
    <xf numFmtId="0" fontId="8" fillId="2" borderId="0" xfId="0" applyFont="1" applyFill="1" applyBorder="1" applyAlignment="1" applyProtection="1">
      <alignment horizontal="right" wrapText="1"/>
    </xf>
    <xf numFmtId="0" fontId="8" fillId="2" borderId="30" xfId="0" applyFont="1" applyFill="1" applyBorder="1" applyAlignment="1" applyProtection="1">
      <alignment horizontal="right" wrapText="1"/>
    </xf>
    <xf numFmtId="0" fontId="9" fillId="6" borderId="16" xfId="0" applyFont="1" applyFill="1" applyBorder="1" applyAlignment="1" applyProtection="1">
      <alignment horizontal="center"/>
    </xf>
    <xf numFmtId="0" fontId="9" fillId="2" borderId="7" xfId="0" applyFont="1" applyFill="1" applyBorder="1" applyAlignment="1" applyProtection="1">
      <alignment horizontal="center"/>
    </xf>
    <xf numFmtId="0" fontId="8" fillId="7" borderId="12" xfId="0" applyFont="1" applyFill="1" applyBorder="1" applyAlignment="1" applyProtection="1">
      <alignment horizontal="left"/>
      <protection locked="0"/>
    </xf>
    <xf numFmtId="0" fontId="7" fillId="7" borderId="13" xfId="3" applyFill="1" applyBorder="1" applyAlignment="1" applyProtection="1">
      <alignment horizontal="left"/>
      <protection locked="0"/>
    </xf>
    <xf numFmtId="0" fontId="8" fillId="7" borderId="13" xfId="0" applyFont="1" applyFill="1" applyBorder="1" applyAlignment="1" applyProtection="1">
      <alignment horizontal="left"/>
      <protection locked="0"/>
    </xf>
    <xf numFmtId="0" fontId="8" fillId="2" borderId="39" xfId="0" applyFont="1" applyFill="1" applyBorder="1" applyAlignment="1" applyProtection="1">
      <alignment horizontal="center"/>
    </xf>
    <xf numFmtId="0" fontId="9" fillId="2" borderId="36" xfId="0" applyFont="1" applyFill="1" applyBorder="1" applyAlignment="1" applyProtection="1">
      <alignment horizontal="center"/>
    </xf>
    <xf numFmtId="0" fontId="9" fillId="7" borderId="12" xfId="0" applyFont="1" applyFill="1" applyBorder="1" applyAlignment="1" applyProtection="1">
      <alignment horizontal="left"/>
      <protection locked="0"/>
    </xf>
    <xf numFmtId="0" fontId="21" fillId="7" borderId="0" xfId="0" applyFont="1" applyFill="1" applyBorder="1" applyAlignment="1" applyProtection="1">
      <alignment horizontal="center" vertical="center" wrapText="1"/>
    </xf>
    <xf numFmtId="0" fontId="21" fillId="8" borderId="0" xfId="0" applyFont="1" applyFill="1" applyBorder="1" applyAlignment="1" applyProtection="1">
      <alignment horizontal="center" vertical="center" wrapText="1"/>
    </xf>
    <xf numFmtId="0" fontId="9" fillId="7" borderId="17" xfId="0" applyFont="1" applyFill="1" applyBorder="1" applyAlignment="1" applyProtection="1">
      <alignment horizontal="center"/>
      <protection locked="0"/>
    </xf>
    <xf numFmtId="0" fontId="9" fillId="2" borderId="37" xfId="0" applyFont="1" applyFill="1" applyBorder="1" applyAlignment="1" applyProtection="1">
      <alignment horizontal="center"/>
    </xf>
    <xf numFmtId="168" fontId="10" fillId="7" borderId="12" xfId="0" applyNumberFormat="1" applyFont="1" applyFill="1" applyBorder="1" applyAlignment="1" applyProtection="1">
      <alignment horizontal="left"/>
      <protection locked="0"/>
    </xf>
    <xf numFmtId="168" fontId="8" fillId="7" borderId="12" xfId="0" applyNumberFormat="1" applyFont="1" applyFill="1" applyBorder="1" applyAlignment="1" applyProtection="1">
      <alignment horizontal="left"/>
      <protection locked="0"/>
    </xf>
    <xf numFmtId="0" fontId="21" fillId="7" borderId="0" xfId="0" applyFont="1" applyFill="1" applyBorder="1" applyAlignment="1">
      <alignment horizontal="center" vertical="center" wrapText="1"/>
    </xf>
    <xf numFmtId="0" fontId="21" fillId="8" borderId="0" xfId="0" applyFont="1" applyFill="1" applyBorder="1" applyAlignment="1">
      <alignment horizontal="center" vertical="center" wrapText="1"/>
    </xf>
    <xf numFmtId="165" fontId="8" fillId="7" borderId="15" xfId="1" applyNumberFormat="1" applyFont="1" applyFill="1" applyBorder="1" applyAlignment="1" applyProtection="1">
      <alignment horizontal="center"/>
      <protection locked="0"/>
    </xf>
    <xf numFmtId="165" fontId="8" fillId="7" borderId="13" xfId="1" applyNumberFormat="1" applyFont="1" applyFill="1" applyBorder="1" applyAlignment="1" applyProtection="1">
      <alignment horizontal="center"/>
      <protection locked="0"/>
    </xf>
    <xf numFmtId="165" fontId="8" fillId="7" borderId="9" xfId="1" applyNumberFormat="1" applyFont="1" applyFill="1" applyBorder="1" applyAlignment="1" applyProtection="1">
      <alignment horizontal="center"/>
      <protection locked="0"/>
    </xf>
    <xf numFmtId="165" fontId="8" fillId="7" borderId="14" xfId="1" applyNumberFormat="1" applyFont="1" applyFill="1" applyBorder="1" applyAlignment="1" applyProtection="1">
      <alignment horizontal="center"/>
      <protection locked="0"/>
    </xf>
    <xf numFmtId="165" fontId="8" fillId="7" borderId="17" xfId="1" applyNumberFormat="1" applyFont="1" applyFill="1" applyBorder="1" applyAlignment="1" applyProtection="1">
      <alignment horizontal="center"/>
      <protection locked="0"/>
    </xf>
    <xf numFmtId="165" fontId="8" fillId="7" borderId="8" xfId="1" applyNumberFormat="1" applyFont="1" applyFill="1" applyBorder="1" applyAlignment="1" applyProtection="1">
      <alignment horizontal="center"/>
      <protection locked="0"/>
    </xf>
    <xf numFmtId="165" fontId="8" fillId="7" borderId="20" xfId="1" applyNumberFormat="1" applyFont="1" applyFill="1" applyBorder="1" applyAlignment="1" applyProtection="1">
      <alignment horizontal="center"/>
      <protection locked="0"/>
    </xf>
    <xf numFmtId="165" fontId="8" fillId="7" borderId="12" xfId="1" applyNumberFormat="1" applyFont="1" applyFill="1" applyBorder="1" applyAlignment="1" applyProtection="1">
      <alignment horizontal="center"/>
      <protection locked="0"/>
    </xf>
    <xf numFmtId="165" fontId="8" fillId="7" borderId="6" xfId="1" applyNumberFormat="1" applyFont="1" applyFill="1" applyBorder="1" applyAlignment="1" applyProtection="1">
      <alignment horizontal="center"/>
      <protection locked="0"/>
    </xf>
    <xf numFmtId="0" fontId="9" fillId="0" borderId="28" xfId="0" applyFont="1" applyBorder="1" applyAlignment="1">
      <alignment horizontal="center" wrapText="1"/>
    </xf>
    <xf numFmtId="0" fontId="9" fillId="0" borderId="7" xfId="0" applyFont="1" applyBorder="1" applyAlignment="1">
      <alignment horizontal="center" wrapText="1"/>
    </xf>
    <xf numFmtId="0" fontId="9" fillId="0" borderId="29" xfId="0" applyFont="1" applyBorder="1" applyAlignment="1">
      <alignment horizontal="center" wrapText="1"/>
    </xf>
    <xf numFmtId="0" fontId="9" fillId="2" borderId="28" xfId="0" applyFont="1" applyFill="1" applyBorder="1" applyAlignment="1">
      <alignment horizontal="center"/>
    </xf>
    <xf numFmtId="0" fontId="9" fillId="2" borderId="7" xfId="0" applyFont="1" applyFill="1" applyBorder="1" applyAlignment="1">
      <alignment horizontal="center"/>
    </xf>
    <xf numFmtId="0" fontId="9" fillId="2" borderId="29" xfId="0" applyFont="1" applyFill="1" applyBorder="1" applyAlignment="1">
      <alignment horizontal="center"/>
    </xf>
    <xf numFmtId="0" fontId="12" fillId="2" borderId="0" xfId="0" applyFont="1" applyFill="1" applyBorder="1" applyAlignment="1">
      <alignment horizontal="center" wrapText="1"/>
    </xf>
    <xf numFmtId="0" fontId="12" fillId="2" borderId="26" xfId="0" applyFont="1" applyFill="1" applyBorder="1" applyAlignment="1">
      <alignment horizontal="center" wrapText="1"/>
    </xf>
    <xf numFmtId="0" fontId="12" fillId="2" borderId="0" xfId="0" applyFont="1" applyFill="1" applyBorder="1" applyAlignment="1">
      <alignment horizontal="center"/>
    </xf>
    <xf numFmtId="0" fontId="1" fillId="2" borderId="0" xfId="0" applyFont="1" applyFill="1" applyBorder="1" applyAlignment="1">
      <alignment horizontal="right" wrapText="1"/>
    </xf>
    <xf numFmtId="0" fontId="9" fillId="6" borderId="8" xfId="0" applyFont="1" applyFill="1" applyBorder="1" applyAlignment="1">
      <alignment horizontal="center"/>
    </xf>
    <xf numFmtId="0" fontId="8" fillId="6" borderId="1" xfId="0" applyFont="1" applyFill="1" applyBorder="1" applyAlignment="1"/>
    <xf numFmtId="0" fontId="8" fillId="6" borderId="14" xfId="0" applyFont="1" applyFill="1" applyBorder="1" applyAlignment="1"/>
    <xf numFmtId="168" fontId="8" fillId="7" borderId="12" xfId="0" applyNumberFormat="1" applyFont="1" applyFill="1" applyBorder="1" applyAlignment="1" applyProtection="1">
      <alignment horizontal="center"/>
      <protection locked="0"/>
    </xf>
    <xf numFmtId="0" fontId="8" fillId="7" borderId="12" xfId="0" applyFont="1" applyFill="1" applyBorder="1" applyAlignment="1" applyProtection="1">
      <alignment horizontal="center"/>
      <protection locked="0"/>
    </xf>
    <xf numFmtId="0" fontId="29" fillId="7" borderId="13" xfId="3" applyFont="1" applyFill="1" applyBorder="1" applyAlignment="1" applyProtection="1">
      <alignment horizontal="center"/>
      <protection locked="0"/>
    </xf>
    <xf numFmtId="0" fontId="8" fillId="7" borderId="13" xfId="0" applyFont="1" applyFill="1" applyBorder="1" applyAlignment="1" applyProtection="1">
      <alignment horizontal="center"/>
      <protection locked="0"/>
    </xf>
    <xf numFmtId="0" fontId="9" fillId="2" borderId="9" xfId="0" applyFont="1" applyFill="1" applyBorder="1" applyAlignment="1">
      <alignment horizontal="center"/>
    </xf>
    <xf numFmtId="0" fontId="8" fillId="2" borderId="2" xfId="0" applyFont="1" applyFill="1" applyBorder="1" applyAlignment="1">
      <alignment horizontal="center"/>
    </xf>
    <xf numFmtId="0" fontId="8" fillId="2" borderId="15" xfId="0" applyFont="1" applyFill="1" applyBorder="1" applyAlignment="1">
      <alignment horizontal="center"/>
    </xf>
    <xf numFmtId="0" fontId="27" fillId="2" borderId="0" xfId="0" applyFont="1" applyFill="1" applyBorder="1" applyAlignment="1">
      <alignment horizontal="left"/>
    </xf>
    <xf numFmtId="0" fontId="2" fillId="2" borderId="0" xfId="0" applyFont="1" applyFill="1" applyAlignment="1">
      <alignment horizontal="center" wrapText="1"/>
    </xf>
    <xf numFmtId="0" fontId="2" fillId="2" borderId="26" xfId="0" applyFont="1" applyFill="1" applyBorder="1" applyAlignment="1">
      <alignment horizontal="center" wrapText="1"/>
    </xf>
    <xf numFmtId="0" fontId="12" fillId="2" borderId="16" xfId="0" applyFont="1" applyFill="1" applyBorder="1" applyAlignment="1">
      <alignment horizontal="center"/>
    </xf>
    <xf numFmtId="0" fontId="9" fillId="2" borderId="28" xfId="0" applyFont="1" applyFill="1" applyBorder="1" applyAlignment="1" applyProtection="1">
      <alignment horizontal="center" wrapText="1"/>
      <protection locked="0"/>
    </xf>
    <xf numFmtId="0" fontId="9" fillId="2" borderId="7" xfId="0" applyFont="1" applyFill="1" applyBorder="1" applyAlignment="1" applyProtection="1">
      <alignment horizontal="center" wrapText="1"/>
      <protection locked="0"/>
    </xf>
    <xf numFmtId="0" fontId="9" fillId="2" borderId="29" xfId="0" applyFont="1" applyFill="1" applyBorder="1" applyAlignment="1" applyProtection="1">
      <alignment horizontal="center" wrapText="1"/>
      <protection locked="0"/>
    </xf>
    <xf numFmtId="0" fontId="21" fillId="7" borderId="0" xfId="0" applyFont="1" applyFill="1" applyBorder="1" applyAlignment="1" applyProtection="1">
      <alignment horizontal="center" vertical="center" wrapText="1"/>
      <protection locked="0"/>
    </xf>
    <xf numFmtId="0" fontId="21" fillId="8" borderId="0" xfId="0" applyFont="1" applyFill="1" applyBorder="1" applyAlignment="1" applyProtection="1">
      <alignment horizontal="center" vertical="center" wrapText="1"/>
      <protection locked="0"/>
    </xf>
    <xf numFmtId="0" fontId="9" fillId="6" borderId="8" xfId="0" applyFont="1" applyFill="1" applyBorder="1" applyAlignment="1" applyProtection="1">
      <alignment horizontal="center"/>
    </xf>
    <xf numFmtId="0" fontId="8" fillId="6" borderId="1" xfId="0" applyFont="1" applyFill="1" applyBorder="1" applyAlignment="1" applyProtection="1"/>
    <xf numFmtId="0" fontId="8" fillId="6" borderId="14" xfId="0" applyFont="1" applyFill="1" applyBorder="1" applyAlignment="1" applyProtection="1"/>
    <xf numFmtId="0" fontId="9" fillId="6" borderId="9" xfId="0" applyFont="1" applyFill="1" applyBorder="1" applyAlignment="1" applyProtection="1">
      <alignment horizontal="center"/>
    </xf>
    <xf numFmtId="0" fontId="8" fillId="6" borderId="2" xfId="0" applyFont="1" applyFill="1" applyBorder="1" applyAlignment="1" applyProtection="1">
      <alignment horizontal="center"/>
    </xf>
    <xf numFmtId="0" fontId="8" fillId="6" borderId="15" xfId="0" applyFont="1" applyFill="1" applyBorder="1" applyAlignment="1" applyProtection="1">
      <alignment horizontal="center"/>
    </xf>
    <xf numFmtId="0" fontId="12" fillId="2" borderId="26" xfId="0" applyFont="1" applyFill="1" applyBorder="1" applyAlignment="1" applyProtection="1">
      <alignment horizontal="center"/>
      <protection locked="0"/>
    </xf>
    <xf numFmtId="165" fontId="31" fillId="7" borderId="15" xfId="1" applyNumberFormat="1" applyFont="1" applyFill="1" applyBorder="1" applyAlignment="1" applyProtection="1">
      <alignment horizontal="right"/>
      <protection locked="0"/>
    </xf>
    <xf numFmtId="165" fontId="31" fillId="7" borderId="6" xfId="0" applyNumberFormat="1" applyFont="1" applyFill="1" applyBorder="1" applyAlignment="1" applyProtection="1">
      <alignment horizontal="center"/>
      <protection locked="0"/>
    </xf>
    <xf numFmtId="169" fontId="31" fillId="7" borderId="19" xfId="1" applyNumberFormat="1" applyFont="1" applyFill="1" applyBorder="1" applyAlignment="1" applyProtection="1">
      <alignment horizontal="right"/>
      <protection locked="0"/>
    </xf>
  </cellXfs>
  <cellStyles count="5">
    <cellStyle name="Comma" xfId="1" builtinId="3"/>
    <cellStyle name="Currency" xfId="2" builtinId="4"/>
    <cellStyle name="Hyperlink" xfId="3" builtinId="8"/>
    <cellStyle name="Normal" xfId="0" builtinId="0"/>
    <cellStyle name="Percent" xfId="4" builtinId="5"/>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2.xml"/><Relationship Id="rId13"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externalLink" Target="externalLinks/externalLink1.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customXml" Target="../customXml/item3.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 Id="rId14" Type="http://schemas.openxmlformats.org/officeDocument/2006/relationships/customXml" Target="../customXml/item2.xml"/></Relationships>
</file>

<file path=xl/drawings/_rels/drawing2.x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drawing3.xml.rels><?xml version="1.0" encoding="UTF-8" standalone="yes"?>
<Relationships xmlns="http://schemas.openxmlformats.org/package/2006/relationships"><Relationship Id="rId1"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dr:twoCellAnchor>
    <xdr:from>
      <xdr:col>0</xdr:col>
      <xdr:colOff>19050</xdr:colOff>
      <xdr:row>11</xdr:row>
      <xdr:rowOff>19050</xdr:rowOff>
    </xdr:from>
    <xdr:to>
      <xdr:col>4</xdr:col>
      <xdr:colOff>571500</xdr:colOff>
      <xdr:row>69</xdr:row>
      <xdr:rowOff>95250</xdr:rowOff>
    </xdr:to>
    <xdr:sp macro="" textlink="">
      <xdr:nvSpPr>
        <xdr:cNvPr id="2" name="TextBox 1"/>
        <xdr:cNvSpPr txBox="1"/>
      </xdr:nvSpPr>
      <xdr:spPr>
        <a:xfrm>
          <a:off x="19050" y="2162175"/>
          <a:ext cx="11391900" cy="111252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b="1">
              <a:effectLst/>
            </a:rPr>
            <a:t>RCW 19.285.070</a:t>
          </a:r>
        </a:p>
        <a:p>
          <a:r>
            <a:rPr lang="en-US" b="1">
              <a:effectLst/>
            </a:rPr>
            <a:t>Reporting and public disclosure.</a:t>
          </a:r>
        </a:p>
        <a:p>
          <a:r>
            <a:rPr lang="en-US" baseline="0">
              <a:effectLst/>
            </a:rPr>
            <a:t>     </a:t>
          </a:r>
          <a:r>
            <a:rPr lang="en-US">
              <a:effectLst/>
            </a:rPr>
            <a:t>(1) On or before June 1, 2012, and annually thereafter, each qualifying utility shall report to the department on its progress in the preceding year in meeting the targets established in RCW </a:t>
          </a:r>
          <a:r>
            <a:rPr lang="en-US">
              <a:effectLst/>
              <a:hlinkClick xmlns:r="http://schemas.openxmlformats.org/officeDocument/2006/relationships" r:id=""/>
            </a:rPr>
            <a:t>19.285.040</a:t>
          </a:r>
          <a:r>
            <a:rPr lang="en-US">
              <a:effectLst/>
            </a:rPr>
            <a:t>, including expected electricity savings from the biennial conservation target, expenditures on conservation, actual electricity savings results, the utility's annual load for the prior two years, the amount of megawatt-hours needed to meet the annual renewable energy target, the amount of megawatt-hours of each type of eligible renewable resource acquired, the type and amount of renewable energy credits acquired, and the percent of its total annual retail revenue requirement invested in the incremental cost of eligible renewable resources and the cost of renewable energy credits. For each year that a qualifying utility elects to demonstrate alternative compliance under RCW </a:t>
          </a:r>
          <a:r>
            <a:rPr lang="en-US">
              <a:effectLst/>
              <a:hlinkClick xmlns:r="http://schemas.openxmlformats.org/officeDocument/2006/relationships" r:id=""/>
            </a:rPr>
            <a:t>19.285.040</a:t>
          </a:r>
          <a:r>
            <a:rPr lang="en-US">
              <a:effectLst/>
            </a:rPr>
            <a:t>(2) (d) or (i) or </a:t>
          </a:r>
          <a:r>
            <a:rPr lang="en-US">
              <a:effectLst/>
              <a:hlinkClick xmlns:r="http://schemas.openxmlformats.org/officeDocument/2006/relationships" r:id=""/>
            </a:rPr>
            <a:t>19.285.050</a:t>
          </a:r>
          <a:r>
            <a:rPr lang="en-US">
              <a:effectLst/>
            </a:rPr>
            <a:t>(1), it must include in its annual report relevant data to demonstrate that it met the criteria in that section. A qualifying utility may submit its report to the department in conjunction with its annual obligations in chapter </a:t>
          </a:r>
          <a:r>
            <a:rPr lang="en-US">
              <a:effectLst/>
              <a:hlinkClick xmlns:r="http://schemas.openxmlformats.org/officeDocument/2006/relationships" r:id=""/>
            </a:rPr>
            <a:t>19.29A</a:t>
          </a:r>
          <a:r>
            <a:rPr lang="en-US">
              <a:effectLst/>
            </a:rPr>
            <a:t> RCW.</a:t>
          </a:r>
        </a:p>
        <a:p>
          <a:r>
            <a:rPr lang="en-US">
              <a:effectLst/>
            </a:rPr>
            <a:t>     (2) A qualifying utility that is an investor-owned utility shall also report all information required in subsection (1) of this section to the commission, and all other qualifying utilities shall also make all information required in subsection (1) of this section available to the auditor.</a:t>
          </a:r>
        </a:p>
        <a:p>
          <a:r>
            <a:rPr lang="en-US">
              <a:effectLst/>
            </a:rPr>
            <a:t>     (3) A qualifying utility shall also make reports required in this section available to its customers.</a:t>
          </a:r>
        </a:p>
        <a:p>
          <a:endParaRPr lang="en-US" b="1">
            <a:effectLst/>
          </a:endParaRPr>
        </a:p>
        <a:p>
          <a:r>
            <a:rPr lang="en-US" b="1">
              <a:effectLst/>
            </a:rPr>
            <a:t>WAC 194-37-060</a:t>
          </a:r>
        </a:p>
        <a:p>
          <a:r>
            <a:rPr lang="en-US" b="1">
              <a:effectLst/>
            </a:rPr>
            <a:t>Conservation reporting requirements.</a:t>
          </a:r>
        </a:p>
        <a:p>
          <a:r>
            <a:rPr lang="en-US">
              <a:effectLst/>
            </a:rPr>
            <a:t>     Each utility shall submit an annual conservation report to the department by June 1st using a form provided by the department. The conservation report must show the utility's progress in the preceding year in meeting the conservation targets established in RCW </a:t>
          </a:r>
          <a:r>
            <a:rPr lang="en-US">
              <a:effectLst/>
              <a:hlinkClick xmlns:r="http://schemas.openxmlformats.org/officeDocument/2006/relationships" r:id=""/>
            </a:rPr>
            <a:t>19.285.040</a:t>
          </a:r>
          <a:r>
            <a:rPr lang="en-US">
              <a:effectLst/>
            </a:rPr>
            <a:t> and must include the following:</a:t>
          </a:r>
        </a:p>
        <a:p>
          <a:r>
            <a:rPr lang="en-US">
              <a:effectLst/>
            </a:rPr>
            <a:t>     (1) The total electricity savings and expenditures for conservation by the following sectors: Residential, commercial, industrial, agricultural, distribution system, and production system. A utility may report results achieved through nonutility programs, as identified in WAC </a:t>
          </a:r>
          <a:r>
            <a:rPr lang="en-US">
              <a:effectLst/>
              <a:hlinkClick xmlns:r="http://schemas.openxmlformats.org/officeDocument/2006/relationships" r:id=""/>
            </a:rPr>
            <a:t>194-37-080</a:t>
          </a:r>
          <a:r>
            <a:rPr lang="en-US">
              <a:effectLst/>
            </a:rPr>
            <a:t>(5), by program, if the results are not included in the reported results by customer sector. Reports submitted in odd-numbered years must include an estimate of savings and expenditures in the prior year. Reports submitted in even-numbered years must include the amount of savings and expenditures in the prior two years. All savings must be documented pursuant to WAC </a:t>
          </a:r>
          <a:r>
            <a:rPr lang="en-US">
              <a:effectLst/>
              <a:hlinkClick xmlns:r="http://schemas.openxmlformats.org/officeDocument/2006/relationships" r:id=""/>
            </a:rPr>
            <a:t>194-37-080</a:t>
          </a:r>
          <a:r>
            <a:rPr lang="en-US">
              <a:effectLst/>
            </a:rPr>
            <a:t>.</a:t>
          </a:r>
        </a:p>
        <a:p>
          <a:r>
            <a:rPr lang="en-US">
              <a:effectLst/>
            </a:rPr>
            <a:t>     (2) A brief description of the methodology used to establish the utility's ten-year potential and biennial target to capture cost-effective conservation.</a:t>
          </a:r>
        </a:p>
        <a:p>
          <a:r>
            <a:rPr lang="en-US">
              <a:effectLst/>
            </a:rPr>
            <a:t>     (3) In even-numbered years the report must include the utility's ten-year conservation potential and biennial targets established pursuant to WAC </a:t>
          </a:r>
          <a:r>
            <a:rPr lang="en-US">
              <a:effectLst/>
              <a:hlinkClick xmlns:r="http://schemas.openxmlformats.org/officeDocument/2006/relationships" r:id=""/>
            </a:rPr>
            <a:t>194-37-070</a:t>
          </a:r>
          <a:r>
            <a:rPr lang="en-US">
              <a:effectLst/>
            </a:rPr>
            <a:t>.</a:t>
          </a:r>
        </a:p>
        <a:p>
          <a:endParaRPr lang="en-US" sz="1100"/>
        </a:p>
        <a:p>
          <a:r>
            <a:rPr lang="en-US" b="1">
              <a:effectLst/>
            </a:rPr>
            <a:t>WAC 194-37-110</a:t>
          </a:r>
        </a:p>
        <a:p>
          <a:r>
            <a:rPr lang="en-US" b="1">
              <a:effectLst/>
            </a:rPr>
            <a:t>Renewable resource energy reporting.</a:t>
          </a:r>
        </a:p>
        <a:p>
          <a:r>
            <a:rPr lang="en-US">
              <a:effectLst/>
            </a:rPr>
            <a:t>     Each utility must submit a renewable resource energy report to the department by June 1st of each year using a form provided by the department. The report must reflect the actions that the utility took by the previous January 1st to meet the renewable requirements of chapter </a:t>
          </a:r>
          <a:r>
            <a:rPr lang="en-US">
              <a:effectLst/>
              <a:hlinkClick xmlns:r="http://schemas.openxmlformats.org/officeDocument/2006/relationships" r:id=""/>
            </a:rPr>
            <a:t>19.285</a:t>
          </a:r>
          <a:r>
            <a:rPr lang="en-US">
              <a:effectLst/>
            </a:rPr>
            <a:t> RCW for that year. For example, a utility must report by June 1, 2015, the actions it took by January 1, 2015, to meet requirements applicable to the 2015 target year.</a:t>
          </a:r>
        </a:p>
        <a:p>
          <a:r>
            <a:rPr lang="en-US" baseline="0">
              <a:effectLst/>
            </a:rPr>
            <a:t>     </a:t>
          </a:r>
          <a:r>
            <a:rPr lang="en-US">
              <a:effectLst/>
            </a:rPr>
            <a:t>(1) </a:t>
          </a:r>
          <a:r>
            <a:rPr lang="en-US" b="1">
              <a:effectLst/>
            </a:rPr>
            <a:t>Reporting requirements applicable to all utilities.</a:t>
          </a:r>
          <a:r>
            <a:rPr lang="en-US">
              <a:effectLst/>
            </a:rPr>
            <a:t> Each utility must report the following information:</a:t>
          </a:r>
        </a:p>
        <a:p>
          <a:r>
            <a:rPr lang="en-US">
              <a:effectLst/>
            </a:rPr>
            <a:t>     (a) The compliance method:</a:t>
          </a:r>
        </a:p>
        <a:p>
          <a:r>
            <a:rPr lang="en-US">
              <a:effectLst/>
            </a:rPr>
            <a:t>          (i) Renewable energy target using renewable resources and RECs – RCW </a:t>
          </a:r>
          <a:r>
            <a:rPr lang="en-US">
              <a:effectLst/>
              <a:hlinkClick xmlns:r="http://schemas.openxmlformats.org/officeDocument/2006/relationships" r:id=""/>
            </a:rPr>
            <a:t>19.285.040</a:t>
          </a:r>
          <a:r>
            <a:rPr lang="en-US">
              <a:effectLst/>
            </a:rPr>
            <a:t> (2)(a);</a:t>
          </a:r>
        </a:p>
        <a:p>
          <a:r>
            <a:rPr lang="en-US">
              <a:effectLst/>
            </a:rPr>
            <a:t>          (ii) Incremental cost – RCW </a:t>
          </a:r>
          <a:r>
            <a:rPr lang="en-US">
              <a:effectLst/>
              <a:hlinkClick xmlns:r="http://schemas.openxmlformats.org/officeDocument/2006/relationships" r:id=""/>
            </a:rPr>
            <a:t>19.285.050</a:t>
          </a:r>
          <a:r>
            <a:rPr lang="en-US">
              <a:effectLst/>
            </a:rPr>
            <a:t>; or</a:t>
          </a:r>
        </a:p>
        <a:p>
          <a:r>
            <a:rPr lang="en-US">
              <a:effectLst/>
            </a:rPr>
            <a:t>          (iii) No-growth cost – RCW </a:t>
          </a:r>
          <a:r>
            <a:rPr lang="en-US">
              <a:effectLst/>
              <a:hlinkClick xmlns:r="http://schemas.openxmlformats.org/officeDocument/2006/relationships" r:id=""/>
            </a:rPr>
            <a:t>19.285.040</a:t>
          </a:r>
          <a:r>
            <a:rPr lang="en-US">
              <a:effectLst/>
            </a:rPr>
            <a:t> (2)(d).</a:t>
          </a:r>
        </a:p>
        <a:p>
          <a:r>
            <a:rPr lang="en-US">
              <a:effectLst/>
            </a:rPr>
            <a:t>     (b) The utility's load for the two years preceding the target year and the average load for those two years.</a:t>
          </a:r>
        </a:p>
        <a:p>
          <a:r>
            <a:rPr lang="en-US">
              <a:effectLst/>
            </a:rPr>
            <a:t>     (c) The utility's renewable energy target for the target year.</a:t>
          </a:r>
        </a:p>
        <a:p>
          <a:r>
            <a:rPr lang="en-US">
              <a:effectLst/>
            </a:rPr>
            <a:t>     (d) The amount of eligible renewable resources, RECs, and multiplier credits to be applied toward the utility's renewable energy target for the target year. The report must identify, by generating facility or hydroelectric project, including the WREGIS generating unit identification where applicable, and, in the case of RECs, by vintage year:</a:t>
          </a:r>
        </a:p>
        <a:p>
          <a:r>
            <a:rPr lang="en-US">
              <a:effectLst/>
            </a:rPr>
            <a:t>          (i) The eligible renewable resources in megawatt-hours to be applied toward the renewable energy target for the target year;</a:t>
          </a:r>
        </a:p>
        <a:p>
          <a:r>
            <a:rPr lang="en-US">
              <a:effectLst/>
            </a:rPr>
            <a:t>         (ii) The RECs to be applied toward the renewable energy target for the target year;</a:t>
          </a:r>
        </a:p>
        <a:p>
          <a:r>
            <a:rPr lang="en-US">
              <a:effectLst/>
            </a:rPr>
            <a:t>         (iii) Any additional credit for eligible renewable resources or RECs from generating facilities eligible for the apprentice labor provision in RCW </a:t>
          </a:r>
          <a:r>
            <a:rPr lang="en-US">
              <a:effectLst/>
              <a:hlinkClick xmlns:r="http://schemas.openxmlformats.org/officeDocument/2006/relationships" r:id=""/>
            </a:rPr>
            <a:t>19.285.040</a:t>
          </a:r>
          <a:r>
            <a:rPr lang="en-US">
              <a:effectLst/>
            </a:rPr>
            <a:t> (2)(h), applied toward the renewable energy target for the target year;</a:t>
          </a:r>
        </a:p>
        <a:p>
          <a:r>
            <a:rPr lang="en-US">
              <a:effectLst/>
            </a:rPr>
            <a:t>          (iv) Any additional credit for RECs from generating facilities eligible for the distributed generation in RCW </a:t>
          </a:r>
          <a:r>
            <a:rPr lang="en-US">
              <a:effectLst/>
              <a:hlinkClick xmlns:r="http://schemas.openxmlformats.org/officeDocument/2006/relationships" r:id=""/>
            </a:rPr>
            <a:t>19.285.040</a:t>
          </a:r>
          <a:r>
            <a:rPr lang="en-US">
              <a:effectLst/>
            </a:rPr>
            <a:t> (2)(b), applied toward the renewable energy target for the target year.</a:t>
          </a:r>
        </a:p>
        <a:p>
          <a:r>
            <a:rPr lang="en-US">
              <a:effectLst/>
            </a:rPr>
            <a:t>     (e) The percent of its total annual retail revenue requirement invested in the incremental cost of eligible renewable resources and the cost of renewable energy credits. Each utility must include in its report documentation of the calculations and inputs to this amount.</a:t>
          </a:r>
        </a:p>
        <a:p>
          <a:r>
            <a:rPr lang="en-US">
              <a:effectLst/>
            </a:rPr>
            <a:t>     (2) </a:t>
          </a:r>
          <a:r>
            <a:rPr lang="en-US" b="1">
              <a:effectLst/>
            </a:rPr>
            <a:t>Incremental cost compliance method report.</a:t>
          </a:r>
          <a:r>
            <a:rPr lang="en-US">
              <a:effectLst/>
            </a:rPr>
            <a:t> Each utility reporting pursuant to subsection (1)(a) of this section its use of the incremental cost compliance method for the target year must include the following information in its report:</a:t>
          </a:r>
        </a:p>
        <a:p>
          <a:r>
            <a:rPr lang="en-US">
              <a:effectLst/>
            </a:rPr>
            <a:t>     (a) Annual revenue requirement for the target year;</a:t>
          </a:r>
        </a:p>
        <a:p>
          <a:r>
            <a:rPr lang="en-US">
              <a:effectLst/>
            </a:rPr>
            <a:t>     (b) The annual levelized delivered cost of its eligible renewable resource(s) reported separately for each resource;</a:t>
          </a:r>
        </a:p>
        <a:p>
          <a:r>
            <a:rPr lang="en-US">
              <a:effectLst/>
            </a:rPr>
            <a:t>     (c) The annual levelized delivered cost of its substitute resources and the eligible renewable resource with which it is being compared;</a:t>
          </a:r>
        </a:p>
        <a:p>
          <a:r>
            <a:rPr lang="en-US">
              <a:effectLst/>
            </a:rPr>
            <a:t>     (d) The total cost of renewable energy credits to be applied in the reporting year;</a:t>
          </a:r>
        </a:p>
        <a:p>
          <a:r>
            <a:rPr lang="en-US">
              <a:effectLst/>
            </a:rPr>
            <a:t>     (e) The percentage of its annual revenue requirement invested in the incremental cost of eligible renewable resources and the cost of RECs; and</a:t>
          </a:r>
        </a:p>
        <a:p>
          <a:r>
            <a:rPr lang="en-US">
              <a:effectLst/>
            </a:rPr>
            <a:t>     (f) The most current information required by WAC </a:t>
          </a:r>
          <a:r>
            <a:rPr lang="en-US">
              <a:effectLst/>
              <a:hlinkClick xmlns:r="http://schemas.openxmlformats.org/officeDocument/2006/relationships" r:id=""/>
            </a:rPr>
            <a:t>194-37-160</a:t>
          </a:r>
          <a:r>
            <a:rPr lang="en-US">
              <a:effectLst/>
            </a:rPr>
            <a:t> used for this financial demonstration.</a:t>
          </a:r>
        </a:p>
        <a:p>
          <a:r>
            <a:rPr lang="en-US">
              <a:effectLst/>
            </a:rPr>
            <a:t>     (3) </a:t>
          </a:r>
          <a:r>
            <a:rPr lang="en-US" b="1">
              <a:effectLst/>
            </a:rPr>
            <a:t>No-growth cost compliance method report.</a:t>
          </a:r>
          <a:r>
            <a:rPr lang="en-US">
              <a:effectLst/>
            </a:rPr>
            <a:t> Each utility reporting pursuant to subsection (1)(a) of this section its use of the no-growth cost compliance method for the target year must include the following information in its report:</a:t>
          </a:r>
        </a:p>
        <a:p>
          <a:r>
            <a:rPr lang="en-US">
              <a:effectLst/>
            </a:rPr>
            <a:t>     (a) Annual revenue requirement for the target year;</a:t>
          </a:r>
        </a:p>
        <a:p>
          <a:r>
            <a:rPr lang="en-US">
              <a:effectLst/>
            </a:rPr>
            <a:t>     (b) Actual and weather-adjusted load for each year used in determining that the utility's load did not increase;</a:t>
          </a:r>
        </a:p>
        <a:p>
          <a:r>
            <a:rPr lang="en-US">
              <a:effectLst/>
            </a:rPr>
            <a:t>     (c) Delivered cost of its eligible renewable resource(s), RECs or a combination of both for the target year to be applied to the one percent of annual revenue requirement, reported separately for each resource;</a:t>
          </a:r>
        </a:p>
        <a:p>
          <a:r>
            <a:rPr lang="en-US">
              <a:effectLst/>
            </a:rPr>
            <a:t>     (d) Generating facility identification, vintage, quantity and cost of any RECs to be retired as an offset for nonrenewable resource purchases pursuant to RCW </a:t>
          </a:r>
          <a:r>
            <a:rPr lang="en-US">
              <a:effectLst/>
              <a:hlinkClick xmlns:r="http://schemas.openxmlformats.org/officeDocument/2006/relationships" r:id=""/>
            </a:rPr>
            <a:t>19.285.040</a:t>
          </a:r>
          <a:r>
            <a:rPr lang="en-US">
              <a:effectLst/>
            </a:rPr>
            <a:t> (2)(d).</a:t>
          </a:r>
        </a:p>
        <a:p>
          <a:r>
            <a:rPr lang="en-US">
              <a:effectLst/>
            </a:rPr>
            <a:t>     (4) </a:t>
          </a:r>
          <a:r>
            <a:rPr lang="en-US" b="1">
              <a:effectLst/>
            </a:rPr>
            <a:t>Final compliance report.</a:t>
          </a:r>
          <a:r>
            <a:rPr lang="en-US">
              <a:effectLst/>
            </a:rPr>
            <a:t> A utility must submit a final renewable compliance report by the later of (a) two years after the filing of the report required in subsections (1) through (3) of this section; or (b) ninety days after the issuance of the auditor's report for the target year. The final renewable compliance report must provide an update of any revisions to the information previously reported pursuant to this section or, if no revisions were made, notify the department that the initial report should be considered the final report. For any target year that a utility demonstrates to the auditor that it did not meet the annual renewable resource requirements in chapter </a:t>
          </a:r>
          <a:r>
            <a:rPr lang="en-US">
              <a:effectLst/>
              <a:hlinkClick xmlns:r="http://schemas.openxmlformats.org/officeDocument/2006/relationships" r:id=""/>
            </a:rPr>
            <a:t>19.285</a:t>
          </a:r>
          <a:r>
            <a:rPr lang="en-US">
              <a:effectLst/>
            </a:rPr>
            <a:t> RCW due to events beyond the reasonable control of the utility per RCW </a:t>
          </a:r>
          <a:r>
            <a:rPr lang="en-US">
              <a:effectLst/>
              <a:hlinkClick xmlns:r="http://schemas.openxmlformats.org/officeDocument/2006/relationships" r:id=""/>
            </a:rPr>
            <a:t>19.285.040</a:t>
          </a:r>
          <a:r>
            <a:rPr lang="en-US">
              <a:effectLst/>
            </a:rPr>
            <a:t> (2)(i), the utility must summarize these events in the final compliance report.</a:t>
          </a:r>
        </a:p>
        <a:p>
          <a:endParaRPr lang="en-US" sz="11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7</xdr:col>
      <xdr:colOff>247650</xdr:colOff>
      <xdr:row>17</xdr:row>
      <xdr:rowOff>361950</xdr:rowOff>
    </xdr:from>
    <xdr:to>
      <xdr:col>8</xdr:col>
      <xdr:colOff>552450</xdr:colOff>
      <xdr:row>24</xdr:row>
      <xdr:rowOff>133350</xdr:rowOff>
    </xdr:to>
    <xdr:sp macro="" textlink="">
      <xdr:nvSpPr>
        <xdr:cNvPr id="2" name="TextBox 1"/>
        <xdr:cNvSpPr txBox="1"/>
      </xdr:nvSpPr>
      <xdr:spPr>
        <a:xfrm>
          <a:off x="6962775" y="3876675"/>
          <a:ext cx="1123950" cy="13049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i="1"/>
            <a:t>Note: Expenditure</a:t>
          </a:r>
          <a:r>
            <a:rPr lang="en-US" sz="1100" i="1" baseline="0"/>
            <a:t> amounts do not include any customer or other non-utility costs.</a:t>
          </a:r>
          <a:endParaRPr lang="en-US" sz="1100" i="1"/>
        </a:p>
      </xdr:txBody>
    </xdr:sp>
    <xdr:clientData/>
  </xdr:twoCellAnchor>
  <xdr:twoCellAnchor editAs="oneCell">
    <xdr:from>
      <xdr:col>1</xdr:col>
      <xdr:colOff>285750</xdr:colOff>
      <xdr:row>36</xdr:row>
      <xdr:rowOff>2038350</xdr:rowOff>
    </xdr:from>
    <xdr:to>
      <xdr:col>6</xdr:col>
      <xdr:colOff>76200</xdr:colOff>
      <xdr:row>36</xdr:row>
      <xdr:rowOff>2619375</xdr:rowOff>
    </xdr:to>
    <xdr:pic>
      <xdr:nvPicPr>
        <xdr:cNvPr id="4" name="Picture 3"/>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00175" y="9972675"/>
          <a:ext cx="4371975" cy="5810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0</xdr:colOff>
      <xdr:row>36</xdr:row>
      <xdr:rowOff>0</xdr:rowOff>
    </xdr:from>
    <xdr:to>
      <xdr:col>8</xdr:col>
      <xdr:colOff>657225</xdr:colOff>
      <xdr:row>75</xdr:row>
      <xdr:rowOff>111125</xdr:rowOff>
    </xdr:to>
    <xdr:sp macro="" textlink="">
      <xdr:nvSpPr>
        <xdr:cNvPr id="5" name="TextBox 4"/>
        <xdr:cNvSpPr txBox="1"/>
      </xdr:nvSpPr>
      <xdr:spPr>
        <a:xfrm>
          <a:off x="0" y="7934325"/>
          <a:ext cx="8191500" cy="9702800"/>
        </a:xfrm>
        <a:prstGeom prst="rect">
          <a:avLst/>
        </a:prstGeom>
        <a:solidFill>
          <a:schemeClr val="accent3">
            <a:lumMod val="20000"/>
            <a:lumOff val="8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indent="0" defTabSz="914400" eaLnBrk="1" fontAlgn="auto" latinLnBrk="0" hangingPunct="1">
            <a:lnSpc>
              <a:spcPct val="100000"/>
            </a:lnSpc>
            <a:spcBef>
              <a:spcPts val="0"/>
            </a:spcBef>
            <a:spcAft>
              <a:spcPts val="0"/>
            </a:spcAft>
            <a:buClrTx/>
            <a:buSzTx/>
            <a:buFontTx/>
            <a:buNone/>
            <a:tabLst/>
            <a:defRPr/>
          </a:pPr>
          <a:r>
            <a:rPr lang="en-US" sz="1100" b="1">
              <a:solidFill>
                <a:srgbClr val="FF0000"/>
              </a:solidFill>
              <a:effectLst/>
              <a:latin typeface="+mn-lt"/>
              <a:ea typeface="+mn-ea"/>
              <a:cs typeface="+mn-cs"/>
            </a:rPr>
            <a:t> </a:t>
          </a:r>
        </a:p>
        <a:p>
          <a:r>
            <a:rPr lang="en-US" sz="1100">
              <a:solidFill>
                <a:schemeClr val="dk1"/>
              </a:solidFill>
              <a:effectLst/>
              <a:latin typeface="+mn-lt"/>
              <a:ea typeface="+mn-ea"/>
              <a:cs typeface="+mn-cs"/>
            </a:rPr>
            <a:t>The quantities submitted above include all areas of conservation effort and achievement, because the Commerce Conservation Report includes areas of conservation that are not used for target setting at the Utilities and Transportation Commission (UTC). Excess savings achieved will be determined using standard practices of the UTC.</a:t>
          </a:r>
        </a:p>
        <a:p>
          <a:endParaRPr lang="en-US" sz="1100">
            <a:solidFill>
              <a:schemeClr val="dk1"/>
            </a:solidFill>
            <a:effectLst/>
            <a:latin typeface="+mn-lt"/>
            <a:ea typeface="+mn-ea"/>
            <a:cs typeface="+mn-cs"/>
          </a:endParaRPr>
        </a:p>
        <a:p>
          <a:r>
            <a:rPr lang="en-US" sz="1100">
              <a:solidFill>
                <a:schemeClr val="dk1"/>
              </a:solidFill>
              <a:effectLst/>
              <a:latin typeface="+mn-lt"/>
              <a:ea typeface="+mn-ea"/>
              <a:cs typeface="+mn-cs"/>
            </a:rPr>
            <a:t>The 2014-2015 MWh  target of 74,703 as approved in Docket UE-132407 does not include savings reported by the Northwest Energy Efficiency Alliance (NEEA).   </a:t>
          </a:r>
        </a:p>
        <a:p>
          <a:pPr marL="0" marR="0" indent="0" defTabSz="914400" eaLnBrk="1" fontAlgn="auto" latinLnBrk="0" hangingPunct="1">
            <a:lnSpc>
              <a:spcPct val="100000"/>
            </a:lnSpc>
            <a:spcBef>
              <a:spcPts val="0"/>
            </a:spcBef>
            <a:spcAft>
              <a:spcPts val="0"/>
            </a:spcAft>
            <a:buClrTx/>
            <a:buSzTx/>
            <a:buFontTx/>
            <a:buNone/>
            <a:tabLst/>
            <a:defRPr/>
          </a:pPr>
          <a:endParaRPr lang="en-US" sz="1100" b="1">
            <a:solidFill>
              <a:srgbClr val="FF0000"/>
            </a:solidFill>
          </a:endParaRPr>
        </a:p>
        <a:p>
          <a:pPr marL="0" marR="0" indent="0" defTabSz="914400" eaLnBrk="1" fontAlgn="auto" latinLnBrk="0" hangingPunct="1">
            <a:lnSpc>
              <a:spcPct val="100000"/>
            </a:lnSpc>
            <a:spcBef>
              <a:spcPts val="0"/>
            </a:spcBef>
            <a:spcAft>
              <a:spcPts val="0"/>
            </a:spcAft>
            <a:buClrTx/>
            <a:buSzTx/>
            <a:buFontTx/>
            <a:buNone/>
            <a:tabLst/>
            <a:defRPr/>
          </a:pPr>
          <a:endParaRPr lang="en-US" sz="1100" b="1">
            <a:solidFill>
              <a:srgbClr val="FF0000"/>
            </a:solidFill>
          </a:endParaRPr>
        </a:p>
        <a:p>
          <a:pPr marL="0" marR="0" indent="0" defTabSz="914400" eaLnBrk="1" fontAlgn="auto" latinLnBrk="0" hangingPunct="1">
            <a:lnSpc>
              <a:spcPct val="100000"/>
            </a:lnSpc>
            <a:spcBef>
              <a:spcPts val="0"/>
            </a:spcBef>
            <a:spcAft>
              <a:spcPts val="0"/>
            </a:spcAft>
            <a:buClrTx/>
            <a:buSzTx/>
            <a:buFontTx/>
            <a:buNone/>
            <a:tabLst/>
            <a:defRPr/>
          </a:pPr>
          <a:endParaRPr lang="en-US" sz="1100" b="1">
            <a:solidFill>
              <a:srgbClr val="FF0000"/>
            </a:solidFill>
          </a:endParaRPr>
        </a:p>
        <a:p>
          <a:pPr marL="0" marR="0" indent="0" defTabSz="914400" eaLnBrk="1" fontAlgn="auto" latinLnBrk="0" hangingPunct="1">
            <a:lnSpc>
              <a:spcPct val="100000"/>
            </a:lnSpc>
            <a:spcBef>
              <a:spcPts val="0"/>
            </a:spcBef>
            <a:spcAft>
              <a:spcPts val="0"/>
            </a:spcAft>
            <a:buClrTx/>
            <a:buSzTx/>
            <a:buFontTx/>
            <a:buNone/>
            <a:tabLst/>
            <a:defRPr/>
          </a:pPr>
          <a:endParaRPr lang="en-US" sz="1100" b="1">
            <a:solidFill>
              <a:srgbClr val="FF0000"/>
            </a:solidFill>
          </a:endParaRPr>
        </a:p>
        <a:p>
          <a:pPr marL="0" marR="0" indent="0" defTabSz="914400" eaLnBrk="1" fontAlgn="auto" latinLnBrk="0" hangingPunct="1">
            <a:lnSpc>
              <a:spcPct val="100000"/>
            </a:lnSpc>
            <a:spcBef>
              <a:spcPts val="0"/>
            </a:spcBef>
            <a:spcAft>
              <a:spcPts val="0"/>
            </a:spcAft>
            <a:buClrTx/>
            <a:buSzTx/>
            <a:buFontTx/>
            <a:buNone/>
            <a:tabLst/>
            <a:defRPr/>
          </a:pPr>
          <a:endParaRPr lang="en-US" sz="1100" b="1">
            <a:solidFill>
              <a:srgbClr val="FF0000"/>
            </a:solidFill>
          </a:endParaRPr>
        </a:p>
        <a:p>
          <a:pPr marL="0" marR="0" indent="0" defTabSz="914400" eaLnBrk="1" fontAlgn="auto" latinLnBrk="0" hangingPunct="1">
            <a:lnSpc>
              <a:spcPct val="100000"/>
            </a:lnSpc>
            <a:spcBef>
              <a:spcPts val="0"/>
            </a:spcBef>
            <a:spcAft>
              <a:spcPts val="0"/>
            </a:spcAft>
            <a:buClrTx/>
            <a:buSzTx/>
            <a:buFontTx/>
            <a:buNone/>
            <a:tabLst/>
            <a:defRPr/>
          </a:pPr>
          <a:endParaRPr lang="en-US" sz="1100" b="1">
            <a:solidFill>
              <a:srgbClr val="FF0000"/>
            </a:solidFill>
          </a:endParaRPr>
        </a:p>
        <a:p>
          <a:pPr marL="0" marR="0" indent="0" defTabSz="914400" eaLnBrk="1" fontAlgn="auto" latinLnBrk="0" hangingPunct="1">
            <a:lnSpc>
              <a:spcPct val="100000"/>
            </a:lnSpc>
            <a:spcBef>
              <a:spcPts val="0"/>
            </a:spcBef>
            <a:spcAft>
              <a:spcPts val="0"/>
            </a:spcAft>
            <a:buClrTx/>
            <a:buSzTx/>
            <a:buFontTx/>
            <a:buNone/>
            <a:tabLst/>
            <a:defRPr/>
          </a:pPr>
          <a:endParaRPr lang="en-US" sz="1100" b="1">
            <a:solidFill>
              <a:srgbClr val="FF0000"/>
            </a:solidFill>
          </a:endParaRPr>
        </a:p>
        <a:p>
          <a:pPr marL="0" marR="0" indent="0" defTabSz="914400" eaLnBrk="1" fontAlgn="auto" latinLnBrk="0" hangingPunct="1">
            <a:lnSpc>
              <a:spcPct val="100000"/>
            </a:lnSpc>
            <a:spcBef>
              <a:spcPts val="0"/>
            </a:spcBef>
            <a:spcAft>
              <a:spcPts val="0"/>
            </a:spcAft>
            <a:buClrTx/>
            <a:buSzTx/>
            <a:buFontTx/>
            <a:buNone/>
            <a:tabLst/>
            <a:defRPr/>
          </a:pPr>
          <a:endParaRPr lang="en-US" sz="1100" b="1">
            <a:solidFill>
              <a:srgbClr val="FF0000"/>
            </a:solidFill>
          </a:endParaRPr>
        </a:p>
        <a:p>
          <a:pPr marL="0" marR="0" indent="0" defTabSz="914400" eaLnBrk="1" fontAlgn="auto" latinLnBrk="0" hangingPunct="1">
            <a:lnSpc>
              <a:spcPct val="100000"/>
            </a:lnSpc>
            <a:spcBef>
              <a:spcPts val="0"/>
            </a:spcBef>
            <a:spcAft>
              <a:spcPts val="0"/>
            </a:spcAft>
            <a:buClrTx/>
            <a:buSzTx/>
            <a:buFontTx/>
            <a:buNone/>
            <a:tabLst/>
            <a:defRPr/>
          </a:pPr>
          <a:r>
            <a:rPr lang="en-US" sz="1100">
              <a:solidFill>
                <a:schemeClr val="dk1"/>
              </a:solidFill>
              <a:effectLst/>
              <a:latin typeface="+mn-lt"/>
              <a:ea typeface="+mn-ea"/>
              <a:cs typeface="+mn-cs"/>
            </a:rPr>
            <a:t>The Company did not have an additional Decoupling Commitment in place for 2014-2015. </a:t>
          </a:r>
        </a:p>
        <a:p>
          <a:pPr marL="0" marR="0" indent="0" defTabSz="914400" eaLnBrk="1" fontAlgn="auto" latinLnBrk="0" hangingPunct="1">
            <a:lnSpc>
              <a:spcPct val="100000"/>
            </a:lnSpc>
            <a:spcBef>
              <a:spcPts val="0"/>
            </a:spcBef>
            <a:spcAft>
              <a:spcPts val="0"/>
            </a:spcAft>
            <a:buClrTx/>
            <a:buSzTx/>
            <a:buFontTx/>
            <a:buNone/>
            <a:tabLst/>
            <a:defRPr/>
          </a:pPr>
          <a:endParaRPr lang="en-US" sz="1100" b="1">
            <a:solidFill>
              <a:srgbClr val="FF0000"/>
            </a:solidFill>
          </a:endParaRPr>
        </a:p>
        <a:p>
          <a:pPr marL="0" marR="0" indent="0" defTabSz="914400" eaLnBrk="1" fontAlgn="auto" latinLnBrk="0" hangingPunct="1">
            <a:lnSpc>
              <a:spcPct val="100000"/>
            </a:lnSpc>
            <a:spcBef>
              <a:spcPts val="0"/>
            </a:spcBef>
            <a:spcAft>
              <a:spcPts val="0"/>
            </a:spcAft>
            <a:buClrTx/>
            <a:buSzTx/>
            <a:buFontTx/>
            <a:buNone/>
            <a:tabLst/>
            <a:defRPr/>
          </a:pPr>
          <a:r>
            <a:rPr lang="en-US" sz="1100">
              <a:solidFill>
                <a:schemeClr val="dk1"/>
              </a:solidFill>
              <a:effectLst/>
              <a:latin typeface="+mn-lt"/>
              <a:ea typeface="+mn-ea"/>
              <a:cs typeface="+mn-cs"/>
            </a:rPr>
            <a:t>Under UTC standard practice, any type of conservation potential withheld from target setting is not counted as achievement to meet the target.</a:t>
          </a:r>
        </a:p>
        <a:p>
          <a:pPr marL="0" marR="0" indent="0" defTabSz="914400" eaLnBrk="1" fontAlgn="auto" latinLnBrk="0" hangingPunct="1">
            <a:lnSpc>
              <a:spcPct val="100000"/>
            </a:lnSpc>
            <a:spcBef>
              <a:spcPts val="0"/>
            </a:spcBef>
            <a:spcAft>
              <a:spcPts val="0"/>
            </a:spcAft>
            <a:buClrTx/>
            <a:buSzTx/>
            <a:buFontTx/>
            <a:buNone/>
            <a:tabLst/>
            <a:defRPr/>
          </a:pPr>
          <a:endParaRPr lang="en-US" sz="1100" b="1">
            <a:solidFill>
              <a:srgbClr val="FF0000"/>
            </a:solidFill>
          </a:endParaRPr>
        </a:p>
        <a:p>
          <a:pPr marL="0" marR="0" indent="0" defTabSz="914400" eaLnBrk="1" fontAlgn="auto" latinLnBrk="0" hangingPunct="1">
            <a:lnSpc>
              <a:spcPct val="100000"/>
            </a:lnSpc>
            <a:spcBef>
              <a:spcPts val="0"/>
            </a:spcBef>
            <a:spcAft>
              <a:spcPts val="0"/>
            </a:spcAft>
            <a:buClrTx/>
            <a:buSzTx/>
            <a:buFontTx/>
            <a:buNone/>
            <a:tabLst/>
            <a:defRPr/>
          </a:pPr>
          <a:endParaRPr lang="en-US" sz="1100" b="1">
            <a:solidFill>
              <a:srgbClr val="FF0000"/>
            </a:solidFill>
          </a:endParaRPr>
        </a:p>
        <a:p>
          <a:pPr marL="0" marR="0" indent="0" defTabSz="914400" eaLnBrk="1" fontAlgn="auto" latinLnBrk="0" hangingPunct="1">
            <a:lnSpc>
              <a:spcPct val="100000"/>
            </a:lnSpc>
            <a:spcBef>
              <a:spcPts val="0"/>
            </a:spcBef>
            <a:spcAft>
              <a:spcPts val="0"/>
            </a:spcAft>
            <a:buClrTx/>
            <a:buSzTx/>
            <a:buFontTx/>
            <a:buNone/>
            <a:tabLst/>
            <a:defRPr/>
          </a:pPr>
          <a:endParaRPr lang="en-US" sz="1100" b="1">
            <a:solidFill>
              <a:srgbClr val="FF0000"/>
            </a:solidFill>
          </a:endParaRPr>
        </a:p>
        <a:p>
          <a:pPr marL="0" marR="0" indent="0" defTabSz="914400" eaLnBrk="1" fontAlgn="auto" latinLnBrk="0" hangingPunct="1">
            <a:lnSpc>
              <a:spcPct val="100000"/>
            </a:lnSpc>
            <a:spcBef>
              <a:spcPts val="0"/>
            </a:spcBef>
            <a:spcAft>
              <a:spcPts val="0"/>
            </a:spcAft>
            <a:buClrTx/>
            <a:buSzTx/>
            <a:buFontTx/>
            <a:buNone/>
            <a:tabLst/>
            <a:defRPr/>
          </a:pPr>
          <a:endParaRPr lang="en-US" sz="1100" b="1">
            <a:solidFill>
              <a:srgbClr val="FF0000"/>
            </a:solidFill>
          </a:endParaRPr>
        </a:p>
        <a:p>
          <a:pPr marL="0" marR="0" indent="0" defTabSz="914400" eaLnBrk="1" fontAlgn="auto" latinLnBrk="0" hangingPunct="1">
            <a:lnSpc>
              <a:spcPct val="100000"/>
            </a:lnSpc>
            <a:spcBef>
              <a:spcPts val="0"/>
            </a:spcBef>
            <a:spcAft>
              <a:spcPts val="0"/>
            </a:spcAft>
            <a:buClrTx/>
            <a:buSzTx/>
            <a:buFontTx/>
            <a:buNone/>
            <a:tabLst/>
            <a:defRPr/>
          </a:pPr>
          <a:endParaRPr lang="en-US" sz="1100" b="1">
            <a:solidFill>
              <a:srgbClr val="FF0000"/>
            </a:solidFill>
          </a:endParaRPr>
        </a:p>
        <a:p>
          <a:pPr marL="0" marR="0" indent="0" defTabSz="914400" eaLnBrk="1" fontAlgn="auto" latinLnBrk="0" hangingPunct="1">
            <a:lnSpc>
              <a:spcPct val="100000"/>
            </a:lnSpc>
            <a:spcBef>
              <a:spcPts val="0"/>
            </a:spcBef>
            <a:spcAft>
              <a:spcPts val="0"/>
            </a:spcAft>
            <a:buClrTx/>
            <a:buSzTx/>
            <a:buFontTx/>
            <a:buNone/>
            <a:tabLst/>
            <a:defRPr/>
          </a:pPr>
          <a:endParaRPr lang="en-US" sz="1100" b="1">
            <a:solidFill>
              <a:srgbClr val="FF0000"/>
            </a:solidFill>
          </a:endParaRPr>
        </a:p>
        <a:p>
          <a:pPr marL="0" marR="0" indent="0" defTabSz="914400" eaLnBrk="1" fontAlgn="auto" latinLnBrk="0" hangingPunct="1">
            <a:lnSpc>
              <a:spcPct val="100000"/>
            </a:lnSpc>
            <a:spcBef>
              <a:spcPts val="0"/>
            </a:spcBef>
            <a:spcAft>
              <a:spcPts val="0"/>
            </a:spcAft>
            <a:buClrTx/>
            <a:buSzTx/>
            <a:buFontTx/>
            <a:buNone/>
            <a:tabLst/>
            <a:defRPr/>
          </a:pPr>
          <a:endParaRPr lang="en-US" sz="1100" b="1">
            <a:solidFill>
              <a:srgbClr val="FF0000"/>
            </a:solidFill>
          </a:endParaRPr>
        </a:p>
        <a:p>
          <a:pPr marL="0" marR="0" indent="0" defTabSz="914400" eaLnBrk="1" fontAlgn="auto" latinLnBrk="0" hangingPunct="1">
            <a:lnSpc>
              <a:spcPct val="100000"/>
            </a:lnSpc>
            <a:spcBef>
              <a:spcPts val="0"/>
            </a:spcBef>
            <a:spcAft>
              <a:spcPts val="0"/>
            </a:spcAft>
            <a:buClrTx/>
            <a:buSzTx/>
            <a:buFontTx/>
            <a:buNone/>
            <a:tabLst/>
            <a:defRPr/>
          </a:pPr>
          <a:endParaRPr lang="en-US" sz="1100" b="1">
            <a:solidFill>
              <a:srgbClr val="FF0000"/>
            </a:solidFill>
          </a:endParaRPr>
        </a:p>
        <a:p>
          <a:pPr marL="0" marR="0" indent="0" defTabSz="914400" eaLnBrk="1" fontAlgn="auto" latinLnBrk="0" hangingPunct="1">
            <a:lnSpc>
              <a:spcPct val="100000"/>
            </a:lnSpc>
            <a:spcBef>
              <a:spcPts val="0"/>
            </a:spcBef>
            <a:spcAft>
              <a:spcPts val="0"/>
            </a:spcAft>
            <a:buClrTx/>
            <a:buSzTx/>
            <a:buFontTx/>
            <a:buNone/>
            <a:tabLst/>
            <a:defRPr/>
          </a:pPr>
          <a:endParaRPr lang="en-US" sz="1100" b="1">
            <a:solidFill>
              <a:srgbClr val="FF0000"/>
            </a:solidFill>
          </a:endParaRPr>
        </a:p>
        <a:p>
          <a:pPr marL="0" marR="0" indent="0" defTabSz="914400" eaLnBrk="1" fontAlgn="auto" latinLnBrk="0" hangingPunct="1">
            <a:lnSpc>
              <a:spcPct val="100000"/>
            </a:lnSpc>
            <a:spcBef>
              <a:spcPts val="0"/>
            </a:spcBef>
            <a:spcAft>
              <a:spcPts val="0"/>
            </a:spcAft>
            <a:buClrTx/>
            <a:buSzTx/>
            <a:buFontTx/>
            <a:buNone/>
            <a:tabLst/>
            <a:defRPr/>
          </a:pPr>
          <a:endParaRPr lang="en-US" sz="1100" b="1">
            <a:solidFill>
              <a:srgbClr val="FF0000"/>
            </a:solidFill>
          </a:endParaRPr>
        </a:p>
        <a:p>
          <a:pPr marL="0" marR="0" indent="0" defTabSz="914400" eaLnBrk="1" fontAlgn="auto" latinLnBrk="0" hangingPunct="1">
            <a:lnSpc>
              <a:spcPct val="100000"/>
            </a:lnSpc>
            <a:spcBef>
              <a:spcPts val="0"/>
            </a:spcBef>
            <a:spcAft>
              <a:spcPts val="0"/>
            </a:spcAft>
            <a:buClrTx/>
            <a:buSzTx/>
            <a:buFontTx/>
            <a:buNone/>
            <a:tabLst/>
            <a:defRPr/>
          </a:pPr>
          <a:endParaRPr lang="en-US" sz="1100" b="1">
            <a:solidFill>
              <a:srgbClr val="FF0000"/>
            </a:solidFill>
          </a:endParaRPr>
        </a:p>
        <a:p>
          <a:pPr marL="0" marR="0">
            <a:lnSpc>
              <a:spcPct val="107000"/>
            </a:lnSpc>
            <a:spcBef>
              <a:spcPts val="0"/>
            </a:spcBef>
            <a:spcAft>
              <a:spcPts val="800"/>
            </a:spcAft>
          </a:pPr>
          <a:endParaRPr lang="en-US" sz="1100">
            <a:effectLst/>
            <a:latin typeface="+mn-lt"/>
            <a:ea typeface="Calibri"/>
            <a:cs typeface="Times New Roman"/>
          </a:endParaRPr>
        </a:p>
        <a:p>
          <a:pPr marL="0" marR="0">
            <a:lnSpc>
              <a:spcPct val="107000"/>
            </a:lnSpc>
            <a:spcBef>
              <a:spcPts val="0"/>
            </a:spcBef>
            <a:spcAft>
              <a:spcPts val="800"/>
            </a:spcAft>
          </a:pPr>
          <a:endParaRPr lang="en-US" sz="1100">
            <a:effectLst/>
            <a:latin typeface="+mn-lt"/>
            <a:ea typeface="Calibri"/>
            <a:cs typeface="Times New Roman"/>
          </a:endParaRPr>
        </a:p>
        <a:p>
          <a:pPr marL="0" marR="0">
            <a:lnSpc>
              <a:spcPct val="107000"/>
            </a:lnSpc>
            <a:spcBef>
              <a:spcPts val="0"/>
            </a:spcBef>
            <a:spcAft>
              <a:spcPts val="800"/>
            </a:spcAft>
          </a:pPr>
          <a:r>
            <a:rPr lang="en-US" sz="1100">
              <a:effectLst/>
              <a:latin typeface="+mn-lt"/>
              <a:ea typeface="Calibri"/>
              <a:cs typeface="Times New Roman"/>
            </a:rPr>
            <a:t>Brief description of the methodology used to establish the utility’s ten-year potential and biennial target to capture cost effective conservation: </a:t>
          </a:r>
        </a:p>
        <a:p>
          <a:pPr marL="342900" marR="0" lvl="0" indent="-342900">
            <a:lnSpc>
              <a:spcPct val="107000"/>
            </a:lnSpc>
            <a:spcBef>
              <a:spcPts val="0"/>
            </a:spcBef>
            <a:spcAft>
              <a:spcPts val="0"/>
            </a:spcAft>
            <a:buFont typeface="Symbol"/>
            <a:buChar char=""/>
          </a:pPr>
          <a:r>
            <a:rPr lang="en-US" sz="1100">
              <a:effectLst/>
              <a:latin typeface="+mn-lt"/>
              <a:ea typeface="Calibri"/>
              <a:cs typeface="Times New Roman"/>
            </a:rPr>
            <a:t>PacifiCorp relied on 1) its 2013 “Assessment of Long-Term System-Wide Potential for Demand-Side and Other Supplemental Resources” (March   2013), 2) economic screening of the conservation potential identified through the 2013 Integrated Resource Plan (IRP) development, and 3) other post IRP adjustments (all documented in Appendix 4 of the PacifiCorp’s ten-year conservation potential and 2014-2015 biennial conservation target report) to establish its ten-year conservation forecast and biennial conservation target. </a:t>
          </a:r>
        </a:p>
        <a:p>
          <a:pPr marL="342900" marR="0" lvl="0" indent="-342900">
            <a:lnSpc>
              <a:spcPct val="107000"/>
            </a:lnSpc>
            <a:spcBef>
              <a:spcPts val="0"/>
            </a:spcBef>
            <a:spcAft>
              <a:spcPts val="0"/>
            </a:spcAft>
            <a:buFont typeface="Symbol"/>
            <a:buChar char=""/>
          </a:pPr>
          <a:endParaRPr lang="en-US" sz="1100">
            <a:effectLst/>
            <a:latin typeface="+mn-lt"/>
            <a:ea typeface="Calibri"/>
            <a:cs typeface="Times New Roman"/>
          </a:endParaRPr>
        </a:p>
        <a:p>
          <a:pPr marL="342900" marR="0" lvl="0" indent="-342900">
            <a:lnSpc>
              <a:spcPct val="107000"/>
            </a:lnSpc>
            <a:spcBef>
              <a:spcPts val="0"/>
            </a:spcBef>
            <a:spcAft>
              <a:spcPts val="800"/>
            </a:spcAft>
            <a:buFont typeface="Symbol"/>
            <a:buChar char=""/>
          </a:pPr>
          <a:r>
            <a:rPr lang="en-US" sz="1100">
              <a:effectLst/>
              <a:latin typeface="+mn-lt"/>
              <a:ea typeface="Calibri"/>
              <a:cs typeface="Times New Roman"/>
            </a:rPr>
            <a:t>The manner by which the Company arrived at its 2012-13 biennial conservation target is explained on pages 27-31 of “PacifiCorp’s </a:t>
          </a:r>
          <a:r>
            <a:rPr lang="en-US" sz="1100">
              <a:effectLst/>
              <a:latin typeface="+mn-lt"/>
              <a:ea typeface="Times New Roman"/>
              <a:cs typeface="Times New Roman"/>
            </a:rPr>
            <a:t>Ten-Year Conservation Potential and 2014-2015 Biennial Conservation Target for its Washington Service Area” filed in Docket </a:t>
          </a:r>
          <a:r>
            <a:rPr lang="en-US" sz="1100">
              <a:effectLst/>
              <a:latin typeface="+mn-lt"/>
              <a:ea typeface="Calibri"/>
              <a:cs typeface="Times New Roman"/>
            </a:rPr>
            <a:t>UE-132047.  This section includes the Company’s proposed use of a range (74,703-74,719 MWh). The Commission approved a single value target coincident with the lower end of the range at the December 19, 2013 meeting.  </a:t>
          </a:r>
        </a:p>
        <a:p>
          <a:pPr marL="0" marR="0">
            <a:lnSpc>
              <a:spcPct val="107000"/>
            </a:lnSpc>
            <a:spcBef>
              <a:spcPts val="0"/>
            </a:spcBef>
            <a:spcAft>
              <a:spcPts val="800"/>
            </a:spcAft>
          </a:pPr>
          <a:r>
            <a:rPr lang="en-US" sz="1100">
              <a:effectLst/>
              <a:latin typeface="+mn-lt"/>
              <a:ea typeface="Calibri"/>
              <a:cs typeface="Times New Roman"/>
            </a:rPr>
            <a:t> </a:t>
          </a:r>
        </a:p>
        <a:p>
          <a:pPr marL="342900" marR="0" lvl="0" indent="-342900">
            <a:lnSpc>
              <a:spcPct val="107000"/>
            </a:lnSpc>
            <a:spcBef>
              <a:spcPts val="0"/>
            </a:spcBef>
            <a:spcAft>
              <a:spcPts val="0"/>
            </a:spcAft>
            <a:buFont typeface="Symbol"/>
            <a:buChar char=""/>
          </a:pPr>
          <a:r>
            <a:rPr lang="en-US" sz="1100">
              <a:effectLst/>
              <a:latin typeface="+mn-lt"/>
              <a:ea typeface="Calibri"/>
              <a:cs typeface="Times New Roman"/>
            </a:rPr>
            <a:t>The Company’s engagement with the Washington DSM Advisory Group during the development of the 2014-2015 target is outlined in the on pages 35 and 36 of “PacifiCorp’s </a:t>
          </a:r>
          <a:r>
            <a:rPr lang="en-US" sz="1100">
              <a:effectLst/>
              <a:latin typeface="+mn-lt"/>
              <a:ea typeface="Times New Roman"/>
              <a:cs typeface="Times New Roman"/>
            </a:rPr>
            <a:t>Ten-Year Conservation Potential and 2014-2015 Biennial Conservation Target for its Washington Service Area” filed in Docket </a:t>
          </a:r>
          <a:r>
            <a:rPr lang="en-US" sz="1100">
              <a:effectLst/>
              <a:latin typeface="+mn-lt"/>
              <a:ea typeface="Calibri"/>
              <a:cs typeface="Times New Roman"/>
            </a:rPr>
            <a:t>UE-132047. </a:t>
          </a:r>
        </a:p>
        <a:p>
          <a:pPr marL="342900" marR="0" lvl="0" indent="-342900">
            <a:lnSpc>
              <a:spcPct val="107000"/>
            </a:lnSpc>
            <a:spcBef>
              <a:spcPts val="0"/>
            </a:spcBef>
            <a:spcAft>
              <a:spcPts val="0"/>
            </a:spcAft>
            <a:buFont typeface="Symbol"/>
            <a:buChar char=""/>
          </a:pPr>
          <a:endParaRPr lang="en-US" sz="1100">
            <a:effectLst/>
            <a:latin typeface="+mn-lt"/>
            <a:ea typeface="Calibri"/>
            <a:cs typeface="Times New Roman"/>
          </a:endParaRPr>
        </a:p>
        <a:p>
          <a:pPr marL="342900" marR="0" lvl="0" indent="-342900">
            <a:lnSpc>
              <a:spcPct val="107000"/>
            </a:lnSpc>
            <a:spcBef>
              <a:spcPts val="0"/>
            </a:spcBef>
            <a:spcAft>
              <a:spcPts val="800"/>
            </a:spcAft>
            <a:buFont typeface="Symbol"/>
            <a:buChar char=""/>
          </a:pPr>
          <a:r>
            <a:rPr lang="en-US" sz="1100">
              <a:effectLst/>
              <a:latin typeface="+mn-lt"/>
              <a:ea typeface="Calibri"/>
              <a:cs typeface="Times New Roman"/>
            </a:rPr>
            <a:t>The commission accepted the company’s forecast and target as meeting the requirements to consider all conservation resources that are cost-effective, reliable and feasible by approval of the Company’s forecast and targets in Docket UE-132047 on December 19, 2013.    </a:t>
          </a:r>
        </a:p>
        <a:p>
          <a:pPr marL="0" marR="0" indent="0" defTabSz="914400" eaLnBrk="1" fontAlgn="auto" latinLnBrk="0" hangingPunct="1">
            <a:lnSpc>
              <a:spcPct val="100000"/>
            </a:lnSpc>
            <a:spcBef>
              <a:spcPts val="0"/>
            </a:spcBef>
            <a:spcAft>
              <a:spcPts val="0"/>
            </a:spcAft>
            <a:buClrTx/>
            <a:buSzTx/>
            <a:buFontTx/>
            <a:buNone/>
            <a:tabLst/>
            <a:defRPr/>
          </a:pPr>
          <a:endParaRPr lang="en-US" sz="1100" b="1">
            <a:solidFill>
              <a:srgbClr val="FF0000"/>
            </a:solidFill>
          </a:endParaRPr>
        </a:p>
      </xdr:txBody>
    </xdr:sp>
    <xdr:clientData/>
  </xdr:twoCellAnchor>
  <xdr:twoCellAnchor editAs="oneCell">
    <xdr:from>
      <xdr:col>0</xdr:col>
      <xdr:colOff>790575</xdr:colOff>
      <xdr:row>36</xdr:row>
      <xdr:rowOff>1409700</xdr:rowOff>
    </xdr:from>
    <xdr:to>
      <xdr:col>7</xdr:col>
      <xdr:colOff>485775</xdr:colOff>
      <xdr:row>36</xdr:row>
      <xdr:rowOff>2533649</xdr:rowOff>
    </xdr:to>
    <xdr:pic>
      <xdr:nvPicPr>
        <xdr:cNvPr id="6" name="Picture 5"/>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790575" y="9344025"/>
          <a:ext cx="6410325" cy="112394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94</xdr:row>
      <xdr:rowOff>123826</xdr:rowOff>
    </xdr:from>
    <xdr:to>
      <xdr:col>12</xdr:col>
      <xdr:colOff>819150</xdr:colOff>
      <xdr:row>108</xdr:row>
      <xdr:rowOff>142876</xdr:rowOff>
    </xdr:to>
    <xdr:sp macro="" textlink="">
      <xdr:nvSpPr>
        <xdr:cNvPr id="3" name="TextBox 2"/>
        <xdr:cNvSpPr txBox="1"/>
      </xdr:nvSpPr>
      <xdr:spPr>
        <a:xfrm>
          <a:off x="0" y="19211926"/>
          <a:ext cx="10944225" cy="2286000"/>
        </a:xfrm>
        <a:prstGeom prst="rect">
          <a:avLst/>
        </a:prstGeom>
        <a:solidFill>
          <a:schemeClr val="accent3">
            <a:lumMod val="20000"/>
            <a:lumOff val="8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a:t>-</a:t>
          </a:r>
          <a:r>
            <a:rPr lang="en-US" baseline="0"/>
            <a:t> </a:t>
          </a:r>
          <a:r>
            <a:rPr lang="en-US"/>
            <a:t>2016 data is a forecast and subject to change.</a:t>
          </a:r>
        </a:p>
        <a:p>
          <a:endParaRPr lang="en-US"/>
        </a:p>
        <a:p>
          <a:r>
            <a:rPr lang="en-US"/>
            <a:t>- The 'Amount invested in incremental cost of eligible renewable resources and the cost of RECs' (Cell L29 of the Renewable</a:t>
          </a:r>
          <a:r>
            <a:rPr lang="en-US" baseline="0"/>
            <a:t> Cost </a:t>
          </a:r>
          <a:r>
            <a:rPr lang="en-US"/>
            <a:t> Report tab</a:t>
          </a:r>
          <a:r>
            <a:rPr lang="en-US" baseline="0"/>
            <a:t>) does not include negative incremental costs in its calculation of total incremental costs. </a:t>
          </a:r>
          <a:r>
            <a:rPr lang="en-US" baseline="30000"/>
            <a:t>[1]</a:t>
          </a:r>
          <a:r>
            <a:rPr lang="en-US" baseline="0"/>
            <a:t>  However, pursuant to  480-109-210 (2)</a:t>
          </a:r>
          <a:r>
            <a:rPr lang="en-US" sz="1100" b="0" i="0" u="none" strike="noStrike" baseline="0" smtClean="0">
              <a:solidFill>
                <a:schemeClr val="dk1"/>
              </a:solidFill>
              <a:latin typeface="+mn-lt"/>
              <a:ea typeface="+mn-ea"/>
              <a:cs typeface="+mn-cs"/>
            </a:rPr>
            <a:t>(F), utilities are instructed to </a:t>
          </a:r>
          <a:r>
            <a:rPr lang="en-US" sz="1100" b="1" i="0" u="none" strike="noStrike" baseline="0" smtClean="0">
              <a:solidFill>
                <a:schemeClr val="dk1"/>
              </a:solidFill>
              <a:latin typeface="+mn-lt"/>
              <a:ea typeface="+mn-ea"/>
              <a:cs typeface="+mn-cs"/>
            </a:rPr>
            <a:t>"</a:t>
          </a:r>
          <a:r>
            <a:rPr lang="en-US" sz="1100" b="0" i="0" u="none" strike="noStrike" baseline="0" smtClean="0">
              <a:solidFill>
                <a:schemeClr val="dk1"/>
              </a:solidFill>
              <a:latin typeface="+mn-lt"/>
              <a:ea typeface="+mn-ea"/>
              <a:cs typeface="+mn-cs"/>
            </a:rPr>
            <a:t>Determine the incremental cost of each eligible resource by subtracting the sum of the levelized costs of the noneligible resources calculated in (a)(i)(D) and (E) of this subsection from the levelized cost of the eligible resource determined in (a)(i)(A) of this subsection. </a:t>
          </a:r>
          <a:r>
            <a:rPr lang="en-US" sz="1100" b="0" i="1" u="none" strike="noStrike" baseline="0" smtClean="0">
              <a:solidFill>
                <a:schemeClr val="dk1"/>
              </a:solidFill>
              <a:latin typeface="+mn-lt"/>
              <a:ea typeface="+mn-ea"/>
              <a:cs typeface="+mn-cs"/>
            </a:rPr>
            <a:t>The result of this calculation may be a negative number</a:t>
          </a:r>
          <a:r>
            <a:rPr lang="en-US" sz="1100" b="0" i="0" u="none" strike="noStrike" baseline="0" smtClean="0">
              <a:solidFill>
                <a:schemeClr val="dk1"/>
              </a:solidFill>
              <a:latin typeface="+mn-lt"/>
              <a:ea typeface="+mn-ea"/>
              <a:cs typeface="+mn-cs"/>
            </a:rPr>
            <a:t>."  </a:t>
          </a:r>
        </a:p>
        <a:p>
          <a:endParaRPr lang="en-US" sz="1100" b="0" i="0" u="none" strike="noStrike" baseline="0" smtClean="0">
            <a:solidFill>
              <a:schemeClr val="dk1"/>
            </a:solidFill>
            <a:latin typeface="+mn-lt"/>
            <a:ea typeface="+mn-ea"/>
            <a:cs typeface="+mn-cs"/>
          </a:endParaRPr>
        </a:p>
        <a:p>
          <a:r>
            <a:rPr lang="en-US" sz="1100" b="0" i="0" u="none" strike="noStrike" baseline="0" smtClean="0">
              <a:solidFill>
                <a:schemeClr val="dk1"/>
              </a:solidFill>
              <a:latin typeface="+mn-lt"/>
              <a:ea typeface="+mn-ea"/>
              <a:cs typeface="+mn-cs"/>
            </a:rPr>
            <a:t>Therefore, the forecasted incremental cost reported in PacifiCorp's 2016 RPS Report to the WUTC and the 2016 forecasted incremental cost in this Renewables Report will vary. </a:t>
          </a:r>
          <a:endParaRPr lang="en-US"/>
        </a:p>
        <a:p>
          <a:endParaRPr lang="en-US"/>
        </a:p>
        <a:p>
          <a:endParaRPr lang="en-US"/>
        </a:p>
        <a:p>
          <a:r>
            <a:rPr lang="en-US" sz="1100" baseline="30000">
              <a:solidFill>
                <a:schemeClr val="dk1"/>
              </a:solidFill>
              <a:effectLst/>
              <a:latin typeface="+mn-lt"/>
              <a:ea typeface="+mn-ea"/>
              <a:cs typeface="+mn-cs"/>
            </a:rPr>
            <a:t>[1] </a:t>
          </a:r>
          <a:r>
            <a:rPr lang="en-US" sz="1100" baseline="0">
              <a:solidFill>
                <a:schemeClr val="dk1"/>
              </a:solidFill>
              <a:effectLst/>
              <a:latin typeface="+mn-lt"/>
              <a:ea typeface="+mn-ea"/>
              <a:cs typeface="+mn-cs"/>
            </a:rPr>
            <a:t>Four of </a:t>
          </a:r>
          <a:r>
            <a:rPr lang="en-US" sz="1100" b="0" baseline="0">
              <a:solidFill>
                <a:schemeClr val="dk1"/>
              </a:solidFill>
              <a:effectLst/>
              <a:latin typeface="+mn-lt"/>
              <a:ea typeface="+mn-ea"/>
              <a:cs typeface="+mn-cs"/>
            </a:rPr>
            <a:t>PacifiCorp</a:t>
          </a:r>
          <a:r>
            <a:rPr lang="en-US" sz="1100" b="0" i="0" baseline="0">
              <a:solidFill>
                <a:schemeClr val="dk1"/>
              </a:solidFill>
              <a:effectLst/>
              <a:latin typeface="+mn-lt"/>
              <a:ea typeface="+mn-ea"/>
              <a:cs typeface="+mn-cs"/>
            </a:rPr>
            <a:t>'s </a:t>
          </a:r>
          <a:r>
            <a:rPr lang="en-US" sz="1100" b="0" baseline="0">
              <a:solidFill>
                <a:schemeClr val="dk1"/>
              </a:solidFill>
              <a:effectLst/>
              <a:latin typeface="+mn-lt"/>
              <a:ea typeface="+mn-ea"/>
              <a:cs typeface="+mn-cs"/>
            </a:rPr>
            <a:t> eligible </a:t>
          </a:r>
          <a:r>
            <a:rPr lang="en-US" sz="1100" baseline="0">
              <a:solidFill>
                <a:schemeClr val="dk1"/>
              </a:solidFill>
              <a:effectLst/>
              <a:latin typeface="+mn-lt"/>
              <a:ea typeface="+mn-ea"/>
              <a:cs typeface="+mn-cs"/>
            </a:rPr>
            <a:t>renewable resources (hydro upgrades - JC Boyle, Prospect 2, Lemolo 1 and Lemolo 2) have negative levelized incremental costs. </a:t>
          </a:r>
          <a:endParaRPr lang="en-US"/>
        </a:p>
      </xdr:txBody>
    </xdr:sp>
    <xdr:clientData/>
  </xdr:twoCellAnchor>
  <xdr:twoCellAnchor>
    <xdr:from>
      <xdr:col>0</xdr:col>
      <xdr:colOff>19051</xdr:colOff>
      <xdr:row>20</xdr:row>
      <xdr:rowOff>152401</xdr:rowOff>
    </xdr:from>
    <xdr:to>
      <xdr:col>14</xdr:col>
      <xdr:colOff>19050</xdr:colOff>
      <xdr:row>33</xdr:row>
      <xdr:rowOff>66675</xdr:rowOff>
    </xdr:to>
    <xdr:sp macro="" textlink="">
      <xdr:nvSpPr>
        <xdr:cNvPr id="4" name="TextBox 3"/>
        <xdr:cNvSpPr txBox="1"/>
      </xdr:nvSpPr>
      <xdr:spPr>
        <a:xfrm>
          <a:off x="19051" y="4333876"/>
          <a:ext cx="11306174" cy="2466974"/>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nSpc>
              <a:spcPts val="1200"/>
            </a:lnSpc>
          </a:pPr>
          <a:r>
            <a:rPr lang="en-US" sz="1000" b="1">
              <a:solidFill>
                <a:schemeClr val="dk1"/>
              </a:solidFill>
              <a:effectLst/>
              <a:latin typeface="Arial" pitchFamily="34" charset="0"/>
              <a:ea typeface="+mn-ea"/>
              <a:cs typeface="Arial" pitchFamily="34" charset="0"/>
            </a:rPr>
            <a:t>2016 Reporting Year:</a:t>
          </a:r>
          <a:endParaRPr lang="en-US" sz="1000">
            <a:solidFill>
              <a:schemeClr val="dk1"/>
            </a:solidFill>
            <a:effectLst/>
            <a:latin typeface="Arial" pitchFamily="34" charset="0"/>
            <a:ea typeface="+mn-ea"/>
            <a:cs typeface="Arial" pitchFamily="34" charset="0"/>
          </a:endParaRPr>
        </a:p>
        <a:p>
          <a:pPr algn="l">
            <a:lnSpc>
              <a:spcPts val="1200"/>
            </a:lnSpc>
          </a:pPr>
          <a:r>
            <a:rPr lang="en-US" sz="1000">
              <a:solidFill>
                <a:schemeClr val="dk1"/>
              </a:solidFill>
              <a:effectLst/>
              <a:latin typeface="Arial" pitchFamily="34" charset="0"/>
              <a:ea typeface="+mn-ea"/>
              <a:cs typeface="Arial" pitchFamily="34" charset="0"/>
            </a:rPr>
            <a:t>This renewable energy report summarizes the eligible renewables resources and renewable energy credits (RECs) that the utility has acquired by January 1, 2016 for the purpose of meeting its Energy Independence Act (EIA) renewables target for 2016. The actual resources and RECs used to comply with the 2016 EIA target may vary from those reported here. Utilities will report in June of 2018 on the actual results for 2016.</a:t>
          </a:r>
        </a:p>
        <a:p>
          <a:pPr>
            <a:lnSpc>
              <a:spcPts val="1100"/>
            </a:lnSpc>
          </a:pPr>
          <a:endParaRPr lang="en-US" sz="1000" b="1">
            <a:solidFill>
              <a:schemeClr val="dk1"/>
            </a:solidFill>
            <a:effectLst/>
            <a:latin typeface="Arial" pitchFamily="34" charset="0"/>
            <a:ea typeface="+mn-ea"/>
            <a:cs typeface="Arial" pitchFamily="34" charset="0"/>
          </a:endParaRPr>
        </a:p>
        <a:p>
          <a:pPr>
            <a:lnSpc>
              <a:spcPts val="1100"/>
            </a:lnSpc>
          </a:pPr>
          <a:r>
            <a:rPr lang="en-US" sz="1000" b="1">
              <a:solidFill>
                <a:schemeClr val="dk1"/>
              </a:solidFill>
              <a:effectLst/>
              <a:latin typeface="Arial" pitchFamily="34" charset="0"/>
              <a:ea typeface="+mn-ea"/>
              <a:cs typeface="Arial" pitchFamily="34" charset="0"/>
            </a:rPr>
            <a:t>Compliance Methods: </a:t>
          </a:r>
          <a:endParaRPr lang="en-US" sz="1000">
            <a:solidFill>
              <a:schemeClr val="dk1"/>
            </a:solidFill>
            <a:effectLst/>
            <a:latin typeface="Arial" pitchFamily="34" charset="0"/>
            <a:ea typeface="+mn-ea"/>
            <a:cs typeface="Arial" pitchFamily="34" charset="0"/>
          </a:endParaRPr>
        </a:p>
        <a:p>
          <a:pPr>
            <a:lnSpc>
              <a:spcPts val="1100"/>
            </a:lnSpc>
          </a:pPr>
          <a:r>
            <a:rPr lang="en-US" sz="1000">
              <a:solidFill>
                <a:schemeClr val="dk1"/>
              </a:solidFill>
              <a:effectLst/>
              <a:latin typeface="Arial" pitchFamily="34" charset="0"/>
              <a:ea typeface="+mn-ea"/>
              <a:cs typeface="Arial" pitchFamily="34" charset="0"/>
            </a:rPr>
            <a:t>The EIA provides three compliance methods for utilities:</a:t>
          </a:r>
        </a:p>
        <a:p>
          <a:pPr lvl="0">
            <a:lnSpc>
              <a:spcPts val="1100"/>
            </a:lnSpc>
          </a:pPr>
          <a:r>
            <a:rPr lang="en-US" sz="1000">
              <a:solidFill>
                <a:schemeClr val="dk1"/>
              </a:solidFill>
              <a:effectLst/>
              <a:latin typeface="Arial" pitchFamily="34" charset="0"/>
              <a:ea typeface="+mn-ea"/>
              <a:cs typeface="Arial" pitchFamily="34" charset="0"/>
            </a:rPr>
            <a:t>-- Meet the renewable energy target using any combination of renewable resources and RECs. The target for 2015 is 3% of the utility’s load</a:t>
          </a:r>
        </a:p>
        <a:p>
          <a:pPr lvl="0">
            <a:lnSpc>
              <a:spcPts val="1100"/>
            </a:lnSpc>
          </a:pPr>
          <a:r>
            <a:rPr lang="en-US" sz="1000">
              <a:solidFill>
                <a:schemeClr val="dk1"/>
              </a:solidFill>
              <a:effectLst/>
              <a:latin typeface="Arial" pitchFamily="34" charset="0"/>
              <a:ea typeface="+mn-ea"/>
              <a:cs typeface="Arial" pitchFamily="34" charset="0"/>
            </a:rPr>
            <a:t>-- Invest at least 4% of the utility’s annual revenue requirement in the incremental cost of renewable resources and RECs.</a:t>
          </a:r>
        </a:p>
        <a:p>
          <a:pPr lvl="0">
            <a:lnSpc>
              <a:spcPts val="1200"/>
            </a:lnSpc>
          </a:pPr>
          <a:r>
            <a:rPr lang="en-US" sz="1000">
              <a:solidFill>
                <a:schemeClr val="dk1"/>
              </a:solidFill>
              <a:effectLst/>
              <a:latin typeface="Arial" pitchFamily="34" charset="0"/>
              <a:ea typeface="+mn-ea"/>
              <a:cs typeface="Arial" pitchFamily="34" charset="0"/>
            </a:rPr>
            <a:t>-- Invest at least 1% of its annual revenue requirement in renewable resources and RECs. This option is available</a:t>
          </a:r>
          <a:r>
            <a:rPr lang="en-US" sz="1000" baseline="0">
              <a:solidFill>
                <a:schemeClr val="dk1"/>
              </a:solidFill>
              <a:effectLst/>
              <a:latin typeface="Arial" pitchFamily="34" charset="0"/>
              <a:ea typeface="+mn-ea"/>
              <a:cs typeface="Arial" pitchFamily="34" charset="0"/>
            </a:rPr>
            <a:t> </a:t>
          </a:r>
          <a:r>
            <a:rPr lang="en-US" sz="1000">
              <a:solidFill>
                <a:schemeClr val="dk1"/>
              </a:solidFill>
              <a:effectLst/>
              <a:latin typeface="Arial" pitchFamily="34" charset="0"/>
              <a:ea typeface="+mn-ea"/>
              <a:cs typeface="Arial" pitchFamily="34" charset="0"/>
            </a:rPr>
            <a:t>only to certain utilities that are not growing.</a:t>
          </a:r>
        </a:p>
        <a:p>
          <a:pPr>
            <a:lnSpc>
              <a:spcPts val="1100"/>
            </a:lnSpc>
          </a:pPr>
          <a:endParaRPr lang="en-US" sz="1000">
            <a:solidFill>
              <a:schemeClr val="dk1"/>
            </a:solidFill>
            <a:effectLst/>
            <a:latin typeface="Arial" pitchFamily="34" charset="0"/>
            <a:ea typeface="+mn-ea"/>
            <a:cs typeface="Arial" pitchFamily="34" charset="0"/>
          </a:endParaRPr>
        </a:p>
        <a:p>
          <a:pPr>
            <a:lnSpc>
              <a:spcPts val="1100"/>
            </a:lnSpc>
          </a:pPr>
          <a:r>
            <a:rPr lang="en-US" sz="1000">
              <a:solidFill>
                <a:schemeClr val="dk1"/>
              </a:solidFill>
              <a:effectLst/>
              <a:latin typeface="Arial" pitchFamily="34" charset="0"/>
              <a:ea typeface="+mn-ea"/>
              <a:cs typeface="Arial" pitchFamily="34" charset="0"/>
            </a:rPr>
            <a:t>All utilities must report the renewable resources and RECs acquired for the 2016 target year. Utilities that elect to use a compliance method based on renewable investments must provide additional information demonstrating compliance with that method. Refer to WAC 194-37-110(2) and (3) for specific requirements. </a:t>
          </a:r>
        </a:p>
        <a:p>
          <a:pPr>
            <a:lnSpc>
              <a:spcPts val="1200"/>
            </a:lnSpc>
          </a:pPr>
          <a:endParaRPr lang="en-US" sz="1000" i="1">
            <a:solidFill>
              <a:schemeClr val="dk1"/>
            </a:solidFill>
            <a:effectLst/>
            <a:latin typeface="Arial" pitchFamily="34" charset="0"/>
            <a:ea typeface="+mn-ea"/>
            <a:cs typeface="Arial" pitchFamily="34" charset="0"/>
          </a:endParaRPr>
        </a:p>
        <a:p>
          <a:pPr>
            <a:lnSpc>
              <a:spcPts val="1200"/>
            </a:lnSpc>
          </a:pPr>
          <a:r>
            <a:rPr lang="en-US" sz="1000" i="1">
              <a:solidFill>
                <a:schemeClr val="dk1"/>
              </a:solidFill>
              <a:effectLst/>
              <a:latin typeface="Arial" pitchFamily="34" charset="0"/>
              <a:ea typeface="+mn-ea"/>
              <a:cs typeface="Arial" pitchFamily="34" charset="0"/>
            </a:rPr>
            <a:t>NOTE: This is a general explanation of the renewable energy requirements of the Energy Independence Act, intended to help members of the public understand the information reported by the utility. Consult Chapter 19.285 RCW and Chapter 194-37 WAC for details.</a:t>
          </a:r>
          <a:endParaRPr lang="en-US" sz="1000">
            <a:solidFill>
              <a:schemeClr val="dk1"/>
            </a:solidFill>
            <a:effectLst/>
            <a:latin typeface="Arial" pitchFamily="34" charset="0"/>
            <a:ea typeface="+mn-ea"/>
            <a:cs typeface="Arial" pitchFamily="34" charset="0"/>
          </a:endParaRPr>
        </a:p>
        <a:p>
          <a:pPr>
            <a:lnSpc>
              <a:spcPts val="1000"/>
            </a:lnSpc>
          </a:pPr>
          <a:r>
            <a:rPr lang="en-US" sz="1000">
              <a:effectLst/>
              <a:latin typeface="Arial" pitchFamily="34" charset="0"/>
              <a:cs typeface="Arial" pitchFamily="34" charset="0"/>
            </a:rPr>
            <a:t/>
          </a:r>
          <a:br>
            <a:rPr lang="en-US" sz="1000">
              <a:effectLst/>
              <a:latin typeface="Arial" pitchFamily="34" charset="0"/>
              <a:cs typeface="Arial" pitchFamily="34" charset="0"/>
            </a:rPr>
          </a:br>
          <a:endParaRPr lang="en-US" sz="1000">
            <a:latin typeface="Arial" pitchFamily="34" charset="0"/>
            <a:cs typeface="Arial" pitchFamily="34" charset="0"/>
          </a:endParaRPr>
        </a:p>
      </xdr:txBody>
    </xdr:sp>
    <xdr:clientData/>
  </xdr:twoCellAnchor>
  <mc:AlternateContent xmlns:mc="http://schemas.openxmlformats.org/markup-compatibility/2006">
    <mc:Choice xmlns:a14="http://schemas.microsoft.com/office/drawing/2010/main" Requires="a14">
      <xdr:twoCellAnchor>
        <xdr:from>
          <xdr:col>0</xdr:col>
          <xdr:colOff>-2297192</xdr:colOff>
          <xdr:row>0</xdr:row>
          <xdr:rowOff>-688176</xdr:rowOff>
        </xdr:from>
        <xdr:to>
          <xdr:col>0</xdr:col>
          <xdr:colOff>-2297192</xdr:colOff>
          <xdr:row>0</xdr:row>
          <xdr:rowOff>-688176</xdr:rowOff>
        </xdr:to>
        <xdr:grpSp>
          <xdr:nvGrpSpPr>
            <xdr:cNvPr id="2" name="Group 1"/>
            <xdr:cNvGrpSpPr/>
          </xdr:nvGrpSpPr>
          <xdr:grpSpPr>
            <a:xfrm>
              <a:off x="-2297192" y="-688176"/>
              <a:ext cx="0" cy="0"/>
              <a:chOff x="-2297192" y="-688176"/>
              <a:chExt cx="0" cy="0"/>
            </a:xfrm>
          </xdr:grpSpPr>
        </xdr:grpSp>
        <xdr:clientData/>
      </xdr:twoCellAnchor>
    </mc:Choice>
    <mc:Fallback/>
  </mc:AlternateContent>
  <xdr:twoCellAnchor editAs="oneCell">
    <xdr:from>
      <xdr:col>0</xdr:col>
      <xdr:colOff>9525</xdr:colOff>
      <xdr:row>20</xdr:row>
      <xdr:rowOff>152400</xdr:rowOff>
    </xdr:from>
    <xdr:to>
      <xdr:col>14</xdr:col>
      <xdr:colOff>28575</xdr:colOff>
      <xdr:row>33</xdr:row>
      <xdr:rowOff>66675</xdr:rowOff>
    </xdr:to>
    <xdr:pic>
      <xdr:nvPicPr>
        <xdr:cNvPr id="5465" name="TextBox 3"/>
        <xdr:cNvPicPr>
          <a:picLocks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525" y="4276725"/>
          <a:ext cx="11696700" cy="24669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38100</xdr:colOff>
      <xdr:row>20</xdr:row>
      <xdr:rowOff>152400</xdr:rowOff>
    </xdr:from>
    <xdr:to>
      <xdr:col>14</xdr:col>
      <xdr:colOff>57150</xdr:colOff>
      <xdr:row>33</xdr:row>
      <xdr:rowOff>66675</xdr:rowOff>
    </xdr:to>
    <xdr:pic>
      <xdr:nvPicPr>
        <xdr:cNvPr id="5467" name="Picture 347"/>
        <xdr:cNvPicPr>
          <a:picLocks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8100" y="4276725"/>
          <a:ext cx="11696700" cy="24669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mc:AlternateContent xmlns:mc="http://schemas.openxmlformats.org/markup-compatibility/2006">
    <mc:Choice xmlns:a14="http://schemas.microsoft.com/office/drawing/2010/main" Requires="a14">
      <xdr:twoCellAnchor>
        <xdr:from>
          <xdr:col>0</xdr:col>
          <xdr:colOff>733425</xdr:colOff>
          <xdr:row>11</xdr:row>
          <xdr:rowOff>123825</xdr:rowOff>
        </xdr:from>
        <xdr:to>
          <xdr:col>3</xdr:col>
          <xdr:colOff>428625</xdr:colOff>
          <xdr:row>15</xdr:row>
          <xdr:rowOff>123825</xdr:rowOff>
        </xdr:to>
        <xdr:grpSp>
          <xdr:nvGrpSpPr>
            <xdr:cNvPr id="5472" name="Group 352"/>
            <xdr:cNvGrpSpPr>
              <a:grpSpLocks/>
            </xdr:cNvGrpSpPr>
          </xdr:nvGrpSpPr>
          <xdr:grpSpPr bwMode="auto">
            <a:xfrm>
              <a:off x="733425" y="2266950"/>
              <a:ext cx="3390900" cy="695325"/>
              <a:chOff x="13620" y="22669"/>
              <a:chExt cx="15240" cy="5334"/>
            </a:xfrm>
          </xdr:grpSpPr>
        </xdr:grpSp>
        <xdr:clientData/>
      </xdr:twoCellAnchor>
    </mc:Choice>
    <mc:Fallback/>
  </mc:AlternateContent>
</xdr:wsDr>
</file>

<file path=xl/drawings/drawing4.xml><?xml version="1.0" encoding="utf-8"?>
<xdr:wsDr xmlns:xdr="http://schemas.openxmlformats.org/drawingml/2006/spreadsheetDrawing" xmlns:a="http://schemas.openxmlformats.org/drawingml/2006/main">
  <xdr:twoCellAnchor>
    <xdr:from>
      <xdr:col>7</xdr:col>
      <xdr:colOff>85725</xdr:colOff>
      <xdr:row>35</xdr:row>
      <xdr:rowOff>76200</xdr:rowOff>
    </xdr:from>
    <xdr:to>
      <xdr:col>11</xdr:col>
      <xdr:colOff>1066800</xdr:colOff>
      <xdr:row>60</xdr:row>
      <xdr:rowOff>142875</xdr:rowOff>
    </xdr:to>
    <xdr:sp macro="" textlink="">
      <xdr:nvSpPr>
        <xdr:cNvPr id="3" name="TextBox 2"/>
        <xdr:cNvSpPr txBox="1"/>
      </xdr:nvSpPr>
      <xdr:spPr>
        <a:xfrm>
          <a:off x="6276975" y="7343775"/>
          <a:ext cx="4171950" cy="4829175"/>
        </a:xfrm>
        <a:prstGeom prst="rect">
          <a:avLst/>
        </a:prstGeom>
        <a:solidFill>
          <a:schemeClr val="accent3">
            <a:lumMod val="20000"/>
            <a:lumOff val="8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a:t>2016 revenue requirement is prorated from Dockets UE-130043 and UE-140762. For a description of incremental cost for resources, please refer to the renewable report for Pacific Power &amp; Light Company, a division of PacifiCorp  filed with the Washington Utilities and Transportation Commission on June 1, 2016.</a:t>
          </a:r>
        </a:p>
        <a:p>
          <a:endParaRPr lang="en-US" sz="1100"/>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www.commerce.wa.gov/Documents/EIA_2014%20ReportWorkbook_DRAFT%203-27-2014.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Users\p20165\AppData\Local\Microsoft\Windows\Temporary%20Internet%20Files\Content.Outlook\IO3NUIWK\EIA-2016-Report%20Workbook%20v3.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Conservation Report"/>
      <sheetName val="Renewables Report"/>
    </sheetNames>
    <sheetDataSet>
      <sheetData sheetId="0" refreshError="1"/>
      <sheetData sheetId="1">
        <row r="3">
          <cell r="C3" t="str">
            <v>Utility Name</v>
          </cell>
        </row>
      </sheetData>
      <sheetData sheetId="2"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ackground"/>
      <sheetName val="Instructions - Revise 2014"/>
      <sheetName val="Conservation Report"/>
      <sheetName val="Renewables Report"/>
      <sheetName val="Renewable Cost Report"/>
      <sheetName val="Data"/>
    </sheetNames>
    <sheetDataSet>
      <sheetData sheetId="0" refreshError="1"/>
      <sheetData sheetId="1" refreshError="1"/>
      <sheetData sheetId="2"/>
      <sheetData sheetId="3">
        <row r="10">
          <cell r="M10">
            <v>0</v>
          </cell>
        </row>
        <row r="13">
          <cell r="M13">
            <v>0</v>
          </cell>
        </row>
        <row r="15">
          <cell r="M15" t="str">
            <v/>
          </cell>
        </row>
        <row r="18">
          <cell r="C18">
            <v>0</v>
          </cell>
          <cell r="D18">
            <v>0</v>
          </cell>
          <cell r="E18">
            <v>0</v>
          </cell>
          <cell r="F18">
            <v>0</v>
          </cell>
          <cell r="G18">
            <v>0</v>
          </cell>
          <cell r="H18">
            <v>0</v>
          </cell>
          <cell r="I18">
            <v>0</v>
          </cell>
          <cell r="J18">
            <v>0</v>
          </cell>
          <cell r="K18">
            <v>0</v>
          </cell>
          <cell r="L18">
            <v>0</v>
          </cell>
          <cell r="M18">
            <v>0</v>
          </cell>
        </row>
        <row r="19">
          <cell r="D19">
            <v>0</v>
          </cell>
          <cell r="E19">
            <v>0</v>
          </cell>
          <cell r="F19">
            <v>0</v>
          </cell>
          <cell r="G19">
            <v>0</v>
          </cell>
          <cell r="H19">
            <v>0</v>
          </cell>
          <cell r="I19">
            <v>0</v>
          </cell>
          <cell r="J19">
            <v>0</v>
          </cell>
          <cell r="K19">
            <v>0</v>
          </cell>
          <cell r="L19">
            <v>0</v>
          </cell>
          <cell r="M19">
            <v>0</v>
          </cell>
          <cell r="N19">
            <v>0</v>
          </cell>
        </row>
      </sheetData>
      <sheetData sheetId="4" refreshError="1"/>
      <sheetData sheetId="5">
        <row r="6">
          <cell r="A6" t="str">
            <v>Water</v>
          </cell>
        </row>
        <row r="7">
          <cell r="A7" t="str">
            <v>Wind</v>
          </cell>
        </row>
        <row r="8">
          <cell r="A8" t="str">
            <v>Solar</v>
          </cell>
        </row>
        <row r="9">
          <cell r="A9" t="str">
            <v>Biomass</v>
          </cell>
        </row>
        <row r="10">
          <cell r="A10" t="str">
            <v>Qualified Biomass</v>
          </cell>
        </row>
        <row r="11">
          <cell r="A11" t="str">
            <v>Geothermal</v>
          </cell>
        </row>
        <row r="12">
          <cell r="A12" t="str">
            <v>Landfill Gas</v>
          </cell>
        </row>
        <row r="13">
          <cell r="A13" t="str">
            <v>Wave, Ocean, Tidal</v>
          </cell>
        </row>
        <row r="14">
          <cell r="A14" t="str">
            <v>Gas from Sewage Treatment</v>
          </cell>
        </row>
        <row r="15">
          <cell r="A15" t="str">
            <v>Biodiesel</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drawing" Target="../drawings/drawing3.xml"/><Relationship Id="rId2" Type="http://schemas.openxmlformats.org/officeDocument/2006/relationships/printerSettings" Target="../printerSettings/printerSettings4.bin"/><Relationship Id="rId1" Type="http://schemas.openxmlformats.org/officeDocument/2006/relationships/hyperlink" Target="mailto:ariel.son@pacificorp.com" TargetMode="External"/><Relationship Id="rId5" Type="http://schemas.openxmlformats.org/officeDocument/2006/relationships/comments" Target="../comments1.xml"/><Relationship Id="rId4" Type="http://schemas.openxmlformats.org/officeDocument/2006/relationships/vmlDrawing" Target="../drawings/vmlDrawing1.vml"/></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pageSetUpPr fitToPage="1"/>
  </sheetPr>
  <dimension ref="A1:N9"/>
  <sheetViews>
    <sheetView workbookViewId="0"/>
  </sheetViews>
  <sheetFormatPr defaultRowHeight="15" x14ac:dyDescent="0.25"/>
  <cols>
    <col min="1" max="1" width="135.140625" customWidth="1"/>
    <col min="14" max="14" width="11.7109375" customWidth="1"/>
  </cols>
  <sheetData>
    <row r="1" spans="1:14" ht="18.75" x14ac:dyDescent="0.25">
      <c r="A1" s="63" t="s">
        <v>194</v>
      </c>
    </row>
    <row r="2" spans="1:14" x14ac:dyDescent="0.25">
      <c r="A2" s="64" t="s">
        <v>110</v>
      </c>
    </row>
    <row r="3" spans="1:14" x14ac:dyDescent="0.25">
      <c r="A3" s="63"/>
      <c r="N3" s="42"/>
    </row>
    <row r="4" spans="1:14" x14ac:dyDescent="0.25">
      <c r="A4" s="62" t="s">
        <v>111</v>
      </c>
    </row>
    <row r="5" spans="1:14" x14ac:dyDescent="0.25">
      <c r="A5" s="62" t="s">
        <v>106</v>
      </c>
      <c r="N5">
        <f>IF(REN_Load_2015+REN_Load_2014&gt;0,AVERAGE(REN_Load_2015,REN_Load_2014),0)</f>
        <v>4112958</v>
      </c>
    </row>
    <row r="6" spans="1:14" x14ac:dyDescent="0.25">
      <c r="A6" s="62" t="s">
        <v>197</v>
      </c>
    </row>
    <row r="8" spans="1:14" x14ac:dyDescent="0.25">
      <c r="A8" s="65" t="s">
        <v>192</v>
      </c>
    </row>
    <row r="9" spans="1:14" x14ac:dyDescent="0.25">
      <c r="A9" s="66" t="s">
        <v>193</v>
      </c>
    </row>
  </sheetData>
  <pageMargins left="0.7" right="0.7" top="0.75" bottom="0.75" header="0.3" footer="0.3"/>
  <pageSetup scale="47" fitToHeight="0"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pageSetUpPr fitToPage="1"/>
  </sheetPr>
  <dimension ref="A1:N7"/>
  <sheetViews>
    <sheetView workbookViewId="0">
      <selection activeCell="A73" sqref="A73"/>
    </sheetView>
  </sheetViews>
  <sheetFormatPr defaultRowHeight="15" x14ac:dyDescent="0.25"/>
  <cols>
    <col min="1" max="1" width="107" customWidth="1"/>
    <col min="14" max="14" width="11.7109375" customWidth="1"/>
  </cols>
  <sheetData>
    <row r="1" spans="1:14" ht="18.75" x14ac:dyDescent="0.25">
      <c r="A1" s="37" t="s">
        <v>112</v>
      </c>
    </row>
    <row r="2" spans="1:14" ht="18.75" x14ac:dyDescent="0.25">
      <c r="A2" s="38"/>
    </row>
    <row r="3" spans="1:14" ht="57" x14ac:dyDescent="0.25">
      <c r="A3" s="39" t="s">
        <v>113</v>
      </c>
      <c r="N3" s="42"/>
    </row>
    <row r="4" spans="1:14" x14ac:dyDescent="0.25">
      <c r="A4" s="39"/>
      <c r="N4" s="42"/>
    </row>
    <row r="5" spans="1:14" ht="72" x14ac:dyDescent="0.25">
      <c r="A5" s="39" t="s">
        <v>114</v>
      </c>
      <c r="N5" s="42"/>
    </row>
    <row r="6" spans="1:14" x14ac:dyDescent="0.25">
      <c r="A6" s="39"/>
    </row>
    <row r="7" spans="1:14" ht="29.25" thickBot="1" x14ac:dyDescent="0.3">
      <c r="A7" s="40" t="s">
        <v>115</v>
      </c>
      <c r="N7">
        <f>IF(REN_Load_2015+REN_Load_2014&gt;0,AVERAGE(REN_Load_2015,REN_Load_2014),0)</f>
        <v>4112958</v>
      </c>
    </row>
  </sheetData>
  <pageMargins left="0.7" right="0.7" top="0.75" bottom="0.75" header="0.3" footer="0.3"/>
  <pageSetup scale="53" fitToHeight="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pageSetUpPr fitToPage="1"/>
  </sheetPr>
  <dimension ref="A1:K56"/>
  <sheetViews>
    <sheetView tabSelected="1" zoomScaleNormal="100" workbookViewId="0">
      <selection activeCell="K36" sqref="K36"/>
    </sheetView>
  </sheetViews>
  <sheetFormatPr defaultColWidth="9.140625" defaultRowHeight="12.75" x14ac:dyDescent="0.2"/>
  <cols>
    <col min="1" max="2" width="16.7109375" style="79" customWidth="1"/>
    <col min="3" max="3" width="17.140625" style="79" customWidth="1"/>
    <col min="4" max="4" width="16" style="79" customWidth="1"/>
    <col min="5" max="5" width="4.42578125" style="79" customWidth="1"/>
    <col min="6" max="6" width="14.42578125" style="79" customWidth="1"/>
    <col min="7" max="7" width="15.28515625" style="79" customWidth="1"/>
    <col min="8" max="8" width="12.28515625" style="79" customWidth="1"/>
    <col min="9" max="9" width="11.140625" style="79" customWidth="1"/>
    <col min="10" max="10" width="9.140625" style="79"/>
    <col min="11" max="11" width="11.7109375" style="79" customWidth="1"/>
    <col min="12" max="16384" width="9.140625" style="79"/>
  </cols>
  <sheetData>
    <row r="1" spans="1:11" ht="15" x14ac:dyDescent="0.2">
      <c r="A1" s="249" t="s">
        <v>192</v>
      </c>
      <c r="B1" s="249"/>
      <c r="C1" s="249"/>
      <c r="D1" s="249"/>
      <c r="E1" s="249"/>
      <c r="F1" s="249"/>
      <c r="G1" s="249"/>
      <c r="H1" s="249"/>
      <c r="I1" s="249"/>
    </row>
    <row r="2" spans="1:11" ht="15" x14ac:dyDescent="0.2">
      <c r="A2" s="250" t="s">
        <v>193</v>
      </c>
      <c r="B2" s="250"/>
      <c r="C2" s="250"/>
      <c r="D2" s="250"/>
      <c r="E2" s="250"/>
      <c r="F2" s="250"/>
      <c r="G2" s="250"/>
      <c r="H2" s="250"/>
      <c r="I2" s="250"/>
    </row>
    <row r="3" spans="1:11" s="81" customFormat="1" ht="19.5" x14ac:dyDescent="0.4">
      <c r="A3" s="80" t="s">
        <v>116</v>
      </c>
    </row>
    <row r="4" spans="1:11" ht="15" customHeight="1" x14ac:dyDescent="0.2">
      <c r="A4" s="82"/>
    </row>
    <row r="5" spans="1:11" ht="14.25" customHeight="1" thickBot="1" x14ac:dyDescent="0.25">
      <c r="A5" s="83" t="s">
        <v>4</v>
      </c>
      <c r="B5" s="251" t="s">
        <v>198</v>
      </c>
      <c r="C5" s="251"/>
      <c r="D5" s="251"/>
      <c r="F5" s="252" t="s">
        <v>124</v>
      </c>
      <c r="G5" s="252"/>
      <c r="H5" s="252"/>
      <c r="I5" s="252"/>
      <c r="K5" s="84"/>
    </row>
    <row r="6" spans="1:11" ht="15" customHeight="1" x14ac:dyDescent="0.2">
      <c r="A6" s="85" t="s">
        <v>41</v>
      </c>
      <c r="B6" s="253" t="s">
        <v>251</v>
      </c>
      <c r="C6" s="254"/>
      <c r="D6" s="254"/>
      <c r="E6" s="86"/>
      <c r="G6" s="87" t="s">
        <v>119</v>
      </c>
      <c r="H6" s="88"/>
      <c r="I6" s="87" t="s">
        <v>121</v>
      </c>
    </row>
    <row r="7" spans="1:11" ht="15" customHeight="1" x14ac:dyDescent="0.2">
      <c r="A7" s="89" t="s">
        <v>40</v>
      </c>
      <c r="B7" s="248" t="s">
        <v>239</v>
      </c>
      <c r="C7" s="243"/>
      <c r="D7" s="243"/>
      <c r="E7" s="81"/>
      <c r="G7" s="90" t="s">
        <v>120</v>
      </c>
      <c r="I7" s="90" t="s">
        <v>120</v>
      </c>
    </row>
    <row r="8" spans="1:11" ht="15" customHeight="1" thickBot="1" x14ac:dyDescent="0.25">
      <c r="A8" s="89" t="s">
        <v>1</v>
      </c>
      <c r="B8" s="243" t="s">
        <v>240</v>
      </c>
      <c r="C8" s="243"/>
      <c r="D8" s="243"/>
      <c r="E8" s="81"/>
      <c r="F8" s="91" t="s">
        <v>125</v>
      </c>
      <c r="G8" s="92">
        <f>CON_Target_2014_2015</f>
        <v>89016</v>
      </c>
      <c r="H8" s="91" t="s">
        <v>126</v>
      </c>
      <c r="I8" s="93">
        <f>CON_Target_2016_2017</f>
        <v>93059</v>
      </c>
    </row>
    <row r="9" spans="1:11" ht="15" customHeight="1" x14ac:dyDescent="0.2">
      <c r="A9" s="89" t="s">
        <v>2</v>
      </c>
      <c r="B9" s="244" t="s">
        <v>241</v>
      </c>
      <c r="C9" s="245"/>
      <c r="D9" s="245"/>
      <c r="E9" s="81"/>
      <c r="F9" s="91" t="s">
        <v>3</v>
      </c>
      <c r="G9" s="94">
        <f>CON_2014_MWH+CON_2015_MWH</f>
        <v>111158</v>
      </c>
    </row>
    <row r="10" spans="1:11" ht="15" customHeight="1" thickBot="1" x14ac:dyDescent="0.25">
      <c r="A10" s="89"/>
      <c r="B10" s="95"/>
      <c r="C10" s="81"/>
      <c r="D10" s="81"/>
      <c r="E10" s="81"/>
      <c r="F10" s="91" t="s">
        <v>195</v>
      </c>
      <c r="G10" s="96">
        <f>G9-G8</f>
        <v>22142</v>
      </c>
    </row>
    <row r="11" spans="1:11" s="81" customFormat="1" ht="13.5" thickBot="1" x14ac:dyDescent="0.25">
      <c r="A11" s="246" t="s">
        <v>33</v>
      </c>
      <c r="B11" s="246"/>
      <c r="C11" s="246"/>
      <c r="D11" s="246"/>
      <c r="E11" s="97"/>
      <c r="H11" s="79"/>
      <c r="I11" s="79"/>
    </row>
    <row r="12" spans="1:11" s="81" customFormat="1" x14ac:dyDescent="0.2">
      <c r="A12" s="238" t="s">
        <v>35</v>
      </c>
      <c r="B12" s="238"/>
      <c r="C12" s="247" t="s">
        <v>117</v>
      </c>
      <c r="D12" s="238"/>
      <c r="F12" s="79"/>
      <c r="G12" s="79"/>
      <c r="H12" s="79"/>
      <c r="I12" s="79"/>
    </row>
    <row r="13" spans="1:11" ht="38.25" x14ac:dyDescent="0.2">
      <c r="A13" s="98" t="s">
        <v>37</v>
      </c>
      <c r="B13" s="99" t="s">
        <v>36</v>
      </c>
      <c r="C13" s="99" t="s">
        <v>122</v>
      </c>
      <c r="D13" s="99" t="s">
        <v>123</v>
      </c>
    </row>
    <row r="14" spans="1:11" ht="15" customHeight="1" x14ac:dyDescent="0.2">
      <c r="A14" s="71">
        <v>391777</v>
      </c>
      <c r="B14" s="302">
        <v>89016</v>
      </c>
      <c r="C14" s="71">
        <v>457530</v>
      </c>
      <c r="D14" s="302">
        <v>93059</v>
      </c>
    </row>
    <row r="15" spans="1:11" ht="15" customHeight="1" thickBot="1" x14ac:dyDescent="0.25">
      <c r="A15" s="81"/>
      <c r="B15" s="81"/>
      <c r="C15" s="81"/>
      <c r="D15" s="81"/>
      <c r="E15" s="81"/>
      <c r="F15" s="81"/>
      <c r="G15" s="81"/>
    </row>
    <row r="16" spans="1:11" ht="13.5" thickTop="1" x14ac:dyDescent="0.2">
      <c r="A16" s="237" t="s">
        <v>3</v>
      </c>
      <c r="B16" s="237"/>
      <c r="C16" s="237"/>
      <c r="D16" s="237"/>
      <c r="E16" s="237"/>
      <c r="F16" s="237"/>
      <c r="G16" s="237"/>
    </row>
    <row r="17" spans="1:7" ht="15" customHeight="1" x14ac:dyDescent="0.2">
      <c r="A17" s="100"/>
      <c r="C17" s="238" t="s">
        <v>74</v>
      </c>
      <c r="D17" s="238"/>
      <c r="F17" s="238" t="s">
        <v>118</v>
      </c>
      <c r="G17" s="238"/>
    </row>
    <row r="18" spans="1:7" ht="30.75" customHeight="1" x14ac:dyDescent="0.2">
      <c r="B18" s="101" t="s">
        <v>24</v>
      </c>
      <c r="C18" s="102" t="s">
        <v>7</v>
      </c>
      <c r="D18" s="102" t="s">
        <v>8</v>
      </c>
      <c r="F18" s="102" t="s">
        <v>7</v>
      </c>
      <c r="G18" s="102" t="s">
        <v>8</v>
      </c>
    </row>
    <row r="19" spans="1:7" ht="15" customHeight="1" x14ac:dyDescent="0.2">
      <c r="B19" s="14" t="s">
        <v>9</v>
      </c>
      <c r="C19" s="209">
        <v>20499</v>
      </c>
      <c r="D19" s="73">
        <v>3389616</v>
      </c>
      <c r="F19" s="209">
        <v>24384</v>
      </c>
      <c r="G19" s="73">
        <v>3946375</v>
      </c>
    </row>
    <row r="20" spans="1:7" ht="15" customHeight="1" x14ac:dyDescent="0.2">
      <c r="B20" s="14" t="s">
        <v>10</v>
      </c>
      <c r="C20" s="209">
        <v>10302</v>
      </c>
      <c r="D20" s="73">
        <v>2379871</v>
      </c>
      <c r="F20" s="209">
        <v>14191</v>
      </c>
      <c r="G20" s="73">
        <v>3648592</v>
      </c>
    </row>
    <row r="21" spans="1:7" ht="15" customHeight="1" x14ac:dyDescent="0.2">
      <c r="B21" s="14" t="s">
        <v>11</v>
      </c>
      <c r="C21" s="209">
        <v>16969</v>
      </c>
      <c r="D21" s="73">
        <v>3250740</v>
      </c>
      <c r="F21" s="209">
        <v>10204</v>
      </c>
      <c r="G21" s="73">
        <v>1934463</v>
      </c>
    </row>
    <row r="22" spans="1:7" ht="15" customHeight="1" x14ac:dyDescent="0.2">
      <c r="B22" s="14" t="s">
        <v>12</v>
      </c>
      <c r="C22" s="209">
        <v>963</v>
      </c>
      <c r="D22" s="73">
        <v>160700</v>
      </c>
      <c r="F22" s="209">
        <v>1367</v>
      </c>
      <c r="G22" s="73">
        <v>230076</v>
      </c>
    </row>
    <row r="23" spans="1:7" ht="15" customHeight="1" x14ac:dyDescent="0.2">
      <c r="B23" s="14" t="s">
        <v>20</v>
      </c>
      <c r="C23" s="209">
        <v>0</v>
      </c>
      <c r="D23" s="73"/>
      <c r="F23" s="209"/>
      <c r="G23" s="73"/>
    </row>
    <row r="24" spans="1:7" ht="15" customHeight="1" x14ac:dyDescent="0.2">
      <c r="B24" s="103" t="s">
        <v>21</v>
      </c>
      <c r="C24" s="209"/>
      <c r="D24" s="73"/>
      <c r="F24" s="209">
        <v>2</v>
      </c>
      <c r="G24" s="73">
        <v>3357</v>
      </c>
    </row>
    <row r="25" spans="1:7" ht="15" customHeight="1" x14ac:dyDescent="0.2">
      <c r="B25" s="103" t="s">
        <v>5</v>
      </c>
      <c r="C25" s="303">
        <v>9348</v>
      </c>
      <c r="D25" s="304">
        <v>1174914</v>
      </c>
      <c r="F25" s="303">
        <v>2929</v>
      </c>
      <c r="G25" s="304">
        <v>884208</v>
      </c>
    </row>
    <row r="26" spans="1:7" ht="15" customHeight="1" x14ac:dyDescent="0.2">
      <c r="B26" s="75"/>
      <c r="C26" s="74"/>
      <c r="D26" s="73"/>
      <c r="F26" s="74"/>
      <c r="G26" s="73"/>
    </row>
    <row r="27" spans="1:7" ht="15" customHeight="1" x14ac:dyDescent="0.2">
      <c r="B27" s="75"/>
      <c r="C27" s="74"/>
      <c r="D27" s="73"/>
      <c r="F27" s="74"/>
      <c r="G27" s="73"/>
    </row>
    <row r="28" spans="1:7" ht="30.75" customHeight="1" x14ac:dyDescent="0.2">
      <c r="A28" s="239" t="s">
        <v>34</v>
      </c>
      <c r="B28" s="240"/>
      <c r="D28" s="104"/>
      <c r="G28" s="104"/>
    </row>
    <row r="29" spans="1:7" ht="25.5" x14ac:dyDescent="0.2">
      <c r="B29" s="76" t="s">
        <v>242</v>
      </c>
      <c r="C29" s="105"/>
      <c r="D29" s="73">
        <f>58260+249791</f>
        <v>308051</v>
      </c>
      <c r="F29" s="105"/>
      <c r="G29" s="73">
        <f>61431+208268</f>
        <v>269699</v>
      </c>
    </row>
    <row r="30" spans="1:7" ht="27" customHeight="1" x14ac:dyDescent="0.2">
      <c r="B30" s="76" t="s">
        <v>243</v>
      </c>
      <c r="C30" s="106"/>
      <c r="D30" s="73">
        <v>901637</v>
      </c>
      <c r="F30" s="106"/>
      <c r="G30" s="73">
        <v>406057</v>
      </c>
    </row>
    <row r="31" spans="1:7" ht="15" customHeight="1" x14ac:dyDescent="0.2">
      <c r="B31" s="107" t="s">
        <v>6</v>
      </c>
      <c r="C31" s="108">
        <f>SUM(C19:C27)</f>
        <v>58081</v>
      </c>
      <c r="D31" s="109">
        <f>SUM(D19:D30)</f>
        <v>11565529</v>
      </c>
      <c r="F31" s="108">
        <f>SUM(F19:F27)</f>
        <v>53077</v>
      </c>
      <c r="G31" s="109">
        <f>SUM(G19:G30)</f>
        <v>11322827</v>
      </c>
    </row>
    <row r="32" spans="1:7" ht="15" customHeight="1" x14ac:dyDescent="0.2">
      <c r="A32" s="110"/>
      <c r="B32" s="111"/>
      <c r="C32" s="112"/>
      <c r="D32" s="111"/>
      <c r="E32" s="112"/>
    </row>
    <row r="33" spans="1:9" s="81" customFormat="1" ht="15" customHeight="1" x14ac:dyDescent="0.2">
      <c r="A33" s="83" t="s">
        <v>4</v>
      </c>
      <c r="B33" s="241" t="str">
        <f>CON_Utility_Name</f>
        <v>Pacific Power &amp; Light Company</v>
      </c>
      <c r="C33" s="241"/>
      <c r="D33" s="241"/>
      <c r="E33" s="241"/>
      <c r="F33" s="79"/>
      <c r="G33" s="79"/>
    </row>
    <row r="34" spans="1:9" s="81" customFormat="1" x14ac:dyDescent="0.2">
      <c r="A34" s="113" t="s">
        <v>13</v>
      </c>
      <c r="B34" s="242">
        <v>2016</v>
      </c>
      <c r="C34" s="242"/>
      <c r="D34" s="242"/>
      <c r="E34" s="242"/>
    </row>
    <row r="35" spans="1:9" s="81" customFormat="1" x14ac:dyDescent="0.2">
      <c r="A35" s="113"/>
      <c r="B35" s="114"/>
      <c r="C35" s="114"/>
      <c r="D35" s="114"/>
      <c r="E35" s="114"/>
    </row>
    <row r="36" spans="1:9" ht="28.5" customHeight="1" x14ac:dyDescent="0.2">
      <c r="A36" s="235" t="s">
        <v>191</v>
      </c>
      <c r="B36" s="235"/>
      <c r="C36" s="235"/>
      <c r="D36" s="235"/>
      <c r="E36" s="235"/>
      <c r="F36" s="235"/>
      <c r="G36" s="235"/>
      <c r="H36" s="235"/>
      <c r="I36" s="235"/>
    </row>
    <row r="37" spans="1:9" s="69" customFormat="1" ht="270.75" customHeight="1" x14ac:dyDescent="0.2">
      <c r="A37" s="236"/>
      <c r="B37" s="236"/>
      <c r="C37" s="236"/>
      <c r="D37" s="236"/>
      <c r="E37" s="236"/>
      <c r="F37" s="236"/>
      <c r="G37" s="236"/>
      <c r="H37" s="236"/>
      <c r="I37" s="236"/>
    </row>
    <row r="38" spans="1:9" s="69" customFormat="1" x14ac:dyDescent="0.2"/>
    <row r="39" spans="1:9" s="69" customFormat="1" x14ac:dyDescent="0.2"/>
    <row r="40" spans="1:9" s="69" customFormat="1" x14ac:dyDescent="0.2"/>
    <row r="41" spans="1:9" s="69" customFormat="1" x14ac:dyDescent="0.2"/>
    <row r="42" spans="1:9" s="69" customFormat="1" x14ac:dyDescent="0.2"/>
    <row r="43" spans="1:9" s="69" customFormat="1" x14ac:dyDescent="0.2"/>
    <row r="44" spans="1:9" s="69" customFormat="1" x14ac:dyDescent="0.2"/>
    <row r="45" spans="1:9" s="69" customFormat="1" x14ac:dyDescent="0.2"/>
    <row r="46" spans="1:9" s="69" customFormat="1" x14ac:dyDescent="0.2"/>
    <row r="47" spans="1:9" s="69" customFormat="1" x14ac:dyDescent="0.2"/>
    <row r="48" spans="1:9" s="69" customFormat="1" x14ac:dyDescent="0.2"/>
    <row r="49" s="69" customFormat="1" x14ac:dyDescent="0.2"/>
    <row r="50" s="69" customFormat="1" x14ac:dyDescent="0.2"/>
    <row r="51" s="69" customFormat="1" x14ac:dyDescent="0.2"/>
    <row r="52" s="69" customFormat="1" x14ac:dyDescent="0.2"/>
    <row r="53" s="69" customFormat="1" x14ac:dyDescent="0.2"/>
    <row r="54" s="69" customFormat="1" x14ac:dyDescent="0.2"/>
    <row r="55" s="69" customFormat="1" x14ac:dyDescent="0.2"/>
    <row r="56" s="69" customFormat="1" x14ac:dyDescent="0.2"/>
  </sheetData>
  <mergeCells count="20">
    <mergeCell ref="B7:D7"/>
    <mergeCell ref="A1:I1"/>
    <mergeCell ref="A2:I2"/>
    <mergeCell ref="B5:D5"/>
    <mergeCell ref="F5:I5"/>
    <mergeCell ref="B6:D6"/>
    <mergeCell ref="B8:D8"/>
    <mergeCell ref="B9:D9"/>
    <mergeCell ref="A11:D11"/>
    <mergeCell ref="A12:B12"/>
    <mergeCell ref="C12:D12"/>
    <mergeCell ref="A36:I36"/>
    <mergeCell ref="A37:I37"/>
    <mergeCell ref="F16:G16"/>
    <mergeCell ref="C17:D17"/>
    <mergeCell ref="F17:G17"/>
    <mergeCell ref="A28:B28"/>
    <mergeCell ref="B33:E33"/>
    <mergeCell ref="B34:E34"/>
    <mergeCell ref="A16:E16"/>
  </mergeCells>
  <pageMargins left="0.7" right="0.7" top="0.75" bottom="0.75" header="0.3" footer="0.3"/>
  <pageSetup scale="99" fitToHeight="0" orientation="landscape" r:id="rId1"/>
  <rowBreaks count="1" manualBreakCount="1">
    <brk id="31" max="16383" man="1"/>
  </rowBreaks>
  <ignoredErrors>
    <ignoredError sqref="D29 G29" unlockedFormula="1"/>
  </ignoredErrors>
  <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3">
    <tabColor theme="6"/>
    <pageSetUpPr fitToPage="1"/>
  </sheetPr>
  <dimension ref="A1:AG115"/>
  <sheetViews>
    <sheetView showGridLines="0" zoomScaleNormal="100" zoomScaleSheetLayoutView="100" workbookViewId="0">
      <selection activeCell="G35" sqref="G35"/>
    </sheetView>
  </sheetViews>
  <sheetFormatPr defaultColWidth="9.140625" defaultRowHeight="12.75" x14ac:dyDescent="0.2"/>
  <cols>
    <col min="1" max="1" width="32.42578125" style="1" customWidth="1"/>
    <col min="2" max="2" width="11.7109375" style="1" customWidth="1"/>
    <col min="3" max="3" width="11.28515625" style="1" customWidth="1"/>
    <col min="4" max="12" width="10.7109375" style="1" customWidth="1"/>
    <col min="13" max="13" width="12.5703125" style="1" customWidth="1"/>
    <col min="14" max="14" width="10.7109375" style="1" customWidth="1"/>
    <col min="15" max="15" width="10.5703125" style="1" customWidth="1"/>
    <col min="16" max="16" width="10.7109375" style="1" customWidth="1"/>
    <col min="17" max="16384" width="9.140625" style="1"/>
  </cols>
  <sheetData>
    <row r="1" spans="1:33" ht="15" customHeight="1" x14ac:dyDescent="0.2">
      <c r="A1" s="255" t="s">
        <v>192</v>
      </c>
      <c r="B1" s="255"/>
      <c r="C1" s="255"/>
      <c r="D1" s="255"/>
      <c r="E1" s="255"/>
      <c r="F1" s="255"/>
      <c r="G1" s="255"/>
      <c r="H1" s="255"/>
      <c r="I1" s="255"/>
      <c r="J1" s="255"/>
      <c r="K1" s="255"/>
      <c r="L1" s="255"/>
      <c r="M1" s="255"/>
      <c r="N1" s="255"/>
    </row>
    <row r="2" spans="1:33" ht="15" customHeight="1" x14ac:dyDescent="0.2">
      <c r="A2" s="256" t="s">
        <v>193</v>
      </c>
      <c r="B2" s="256"/>
      <c r="C2" s="256"/>
      <c r="D2" s="256"/>
      <c r="E2" s="256"/>
      <c r="F2" s="256"/>
      <c r="G2" s="256"/>
      <c r="H2" s="256"/>
      <c r="I2" s="256"/>
      <c r="J2" s="256"/>
      <c r="K2" s="256"/>
      <c r="L2" s="256"/>
      <c r="M2" s="256"/>
      <c r="N2" s="256"/>
    </row>
    <row r="3" spans="1:33" s="7" customFormat="1" ht="19.5" x14ac:dyDescent="0.4">
      <c r="A3" s="25" t="s">
        <v>127</v>
      </c>
      <c r="B3" s="25"/>
      <c r="C3" s="25"/>
      <c r="AB3" s="23" t="s">
        <v>27</v>
      </c>
      <c r="AG3" s="20"/>
    </row>
    <row r="4" spans="1:33" ht="14.25" x14ac:dyDescent="0.2">
      <c r="A4" s="47"/>
      <c r="B4" s="47"/>
      <c r="C4" s="47"/>
      <c r="H4" s="266" t="s">
        <v>26</v>
      </c>
      <c r="I4" s="267"/>
      <c r="J4" s="267"/>
      <c r="K4" s="267"/>
      <c r="L4" s="267"/>
      <c r="M4" s="268"/>
      <c r="AB4" s="24" t="s">
        <v>28</v>
      </c>
      <c r="AG4" s="18"/>
    </row>
    <row r="5" spans="1:33" ht="15" customHeight="1" x14ac:dyDescent="0.2">
      <c r="A5" s="3" t="s">
        <v>4</v>
      </c>
      <c r="B5" s="251" t="s">
        <v>198</v>
      </c>
      <c r="C5" s="251"/>
      <c r="D5" s="251"/>
      <c r="H5" s="28"/>
      <c r="I5" s="7"/>
      <c r="J5" s="7"/>
      <c r="K5" s="7"/>
      <c r="L5" s="27" t="s">
        <v>99</v>
      </c>
      <c r="M5" s="173">
        <v>4117646</v>
      </c>
      <c r="AB5" s="24" t="s">
        <v>29</v>
      </c>
      <c r="AG5" s="18"/>
    </row>
    <row r="6" spans="1:33" ht="15" customHeight="1" thickBot="1" x14ac:dyDescent="0.25">
      <c r="A6" s="4" t="s">
        <v>41</v>
      </c>
      <c r="B6" s="279">
        <v>42522</v>
      </c>
      <c r="C6" s="279"/>
      <c r="D6" s="279"/>
      <c r="H6" s="28"/>
      <c r="I6" s="7"/>
      <c r="J6" s="7"/>
      <c r="K6" s="7"/>
      <c r="L6" s="27" t="s">
        <v>132</v>
      </c>
      <c r="M6" s="173">
        <v>4108270</v>
      </c>
      <c r="AB6" s="24" t="s">
        <v>30</v>
      </c>
      <c r="AG6" s="19"/>
    </row>
    <row r="7" spans="1:33" ht="15" customHeight="1" x14ac:dyDescent="0.2">
      <c r="A7" s="5" t="s">
        <v>0</v>
      </c>
      <c r="B7" s="280" t="s">
        <v>244</v>
      </c>
      <c r="C7" s="280"/>
      <c r="D7" s="280"/>
      <c r="H7" s="28"/>
      <c r="I7" s="7"/>
      <c r="J7" s="7"/>
      <c r="K7" s="7"/>
      <c r="L7" s="27" t="s">
        <v>100</v>
      </c>
      <c r="M7" s="45">
        <f>IF(REN_Load_2015+REN_Load_2014&gt;0,AVERAGE(REN_Load_2015,REN_Load_2014),0)</f>
        <v>4112958</v>
      </c>
    </row>
    <row r="8" spans="1:33" ht="15" customHeight="1" x14ac:dyDescent="0.2">
      <c r="A8" s="5" t="s">
        <v>1</v>
      </c>
      <c r="B8" s="280" t="s">
        <v>245</v>
      </c>
      <c r="C8" s="280"/>
      <c r="D8" s="280"/>
      <c r="H8" s="28"/>
      <c r="I8" s="7"/>
      <c r="J8" s="7"/>
      <c r="K8" s="7"/>
      <c r="L8" s="27" t="s">
        <v>133</v>
      </c>
      <c r="M8" s="148">
        <v>0.09</v>
      </c>
    </row>
    <row r="9" spans="1:33" ht="15" customHeight="1" x14ac:dyDescent="0.2">
      <c r="A9" s="5" t="s">
        <v>2</v>
      </c>
      <c r="B9" s="281" t="s">
        <v>246</v>
      </c>
      <c r="C9" s="282"/>
      <c r="D9" s="282"/>
      <c r="H9" s="32"/>
      <c r="I9" s="7"/>
      <c r="J9" s="7"/>
      <c r="K9" s="7"/>
      <c r="L9" s="27" t="s">
        <v>141</v>
      </c>
      <c r="M9" s="45">
        <f>ROUND(M7*M8,0)</f>
        <v>370166</v>
      </c>
    </row>
    <row r="10" spans="1:33" ht="15" customHeight="1" x14ac:dyDescent="0.2">
      <c r="A10" s="5"/>
      <c r="B10" s="5"/>
      <c r="C10" s="5"/>
      <c r="D10" s="17"/>
      <c r="H10" s="29"/>
      <c r="I10" s="30"/>
      <c r="J10" s="30"/>
      <c r="K10" s="30"/>
      <c r="L10" s="31" t="s">
        <v>134</v>
      </c>
      <c r="M10" s="46">
        <v>370166</v>
      </c>
    </row>
    <row r="11" spans="1:33" ht="15" customHeight="1" x14ac:dyDescent="0.2">
      <c r="A11" s="3" t="s">
        <v>128</v>
      </c>
      <c r="B11" s="41"/>
      <c r="C11" s="41"/>
    </row>
    <row r="12" spans="1:33" ht="15" customHeight="1" x14ac:dyDescent="0.2">
      <c r="B12" s="47"/>
      <c r="C12" s="47"/>
      <c r="F12" s="269" t="s">
        <v>139</v>
      </c>
      <c r="G12" s="270"/>
      <c r="H12" s="270"/>
      <c r="I12" s="270"/>
      <c r="J12" s="270"/>
      <c r="K12" s="270"/>
      <c r="L12" s="270"/>
      <c r="M12" s="271"/>
    </row>
    <row r="13" spans="1:33" s="21" customFormat="1" ht="14.25" customHeight="1" x14ac:dyDescent="0.25">
      <c r="A13" s="1"/>
      <c r="B13" s="22"/>
      <c r="C13" s="22"/>
      <c r="F13" s="28" t="s">
        <v>72</v>
      </c>
      <c r="G13" s="35"/>
      <c r="H13" s="35"/>
      <c r="I13" s="35"/>
      <c r="J13" s="35"/>
      <c r="K13" s="35"/>
      <c r="L13" s="7"/>
      <c r="M13" s="43">
        <v>2796923</v>
      </c>
    </row>
    <row r="14" spans="1:33" x14ac:dyDescent="0.2">
      <c r="B14" s="47"/>
      <c r="C14" s="47"/>
      <c r="F14" s="28" t="s">
        <v>140</v>
      </c>
      <c r="G14" s="33"/>
      <c r="H14" s="33"/>
      <c r="I14" s="33"/>
      <c r="J14" s="33"/>
      <c r="K14" s="7"/>
      <c r="L14" s="7"/>
      <c r="M14" s="115">
        <v>331168861</v>
      </c>
    </row>
    <row r="15" spans="1:33" x14ac:dyDescent="0.2">
      <c r="F15" s="36" t="s">
        <v>73</v>
      </c>
      <c r="G15" s="34"/>
      <c r="H15" s="34"/>
      <c r="I15" s="34"/>
      <c r="J15" s="34"/>
      <c r="K15" s="30"/>
      <c r="L15" s="30"/>
      <c r="M15" s="44">
        <f>IF(REN_RetailRevenueRequirement_2016&gt;0,REN_Expenditure_Amount_2016/REN_RetailRevenueRequirement_2016,"")</f>
        <v>8.4456098666836916E-3</v>
      </c>
    </row>
    <row r="16" spans="1:33" ht="17.45" customHeight="1" x14ac:dyDescent="0.2">
      <c r="H16" s="275"/>
      <c r="I16" s="275"/>
      <c r="J16" s="275"/>
      <c r="K16" s="275"/>
      <c r="L16" s="275"/>
      <c r="M16" s="15"/>
      <c r="N16" s="11"/>
      <c r="O16" s="11"/>
    </row>
    <row r="17" spans="1:33" ht="36" customHeight="1" x14ac:dyDescent="0.2">
      <c r="A17" s="9"/>
      <c r="C17" s="53" t="s">
        <v>14</v>
      </c>
      <c r="D17" s="54" t="s">
        <v>15</v>
      </c>
      <c r="E17" s="54" t="s">
        <v>173</v>
      </c>
      <c r="F17" s="54" t="s">
        <v>174</v>
      </c>
      <c r="G17" s="54" t="s">
        <v>16</v>
      </c>
      <c r="H17" s="54" t="s">
        <v>23</v>
      </c>
      <c r="I17" s="54" t="s">
        <v>17</v>
      </c>
      <c r="J17" s="54" t="s">
        <v>172</v>
      </c>
      <c r="K17" s="54" t="s">
        <v>176</v>
      </c>
      <c r="L17" s="54" t="s">
        <v>177</v>
      </c>
      <c r="M17" s="199" t="s">
        <v>185</v>
      </c>
      <c r="N17" s="55" t="s">
        <v>186</v>
      </c>
      <c r="O17" s="11"/>
    </row>
    <row r="18" spans="1:33" ht="15" customHeight="1" x14ac:dyDescent="0.2">
      <c r="B18" s="4" t="s">
        <v>25</v>
      </c>
      <c r="C18" s="229">
        <v>1903</v>
      </c>
      <c r="D18" s="50">
        <v>330080</v>
      </c>
      <c r="E18" s="50" t="s">
        <v>249</v>
      </c>
      <c r="F18" s="50" t="s">
        <v>249</v>
      </c>
      <c r="G18" s="50" t="s">
        <v>249</v>
      </c>
      <c r="H18" s="50">
        <f t="shared" ref="H18:L18" si="0">SUMIF($C40:$C59,H$17,$E40:$E59)</f>
        <v>0</v>
      </c>
      <c r="I18" s="50">
        <f t="shared" si="0"/>
        <v>0</v>
      </c>
      <c r="J18" s="50">
        <f t="shared" si="0"/>
        <v>0</v>
      </c>
      <c r="K18" s="50">
        <f t="shared" si="0"/>
        <v>0</v>
      </c>
      <c r="L18" s="50">
        <f t="shared" si="0"/>
        <v>0</v>
      </c>
      <c r="M18" s="200">
        <f>SUM(F40:F59)</f>
        <v>0</v>
      </c>
      <c r="N18" s="56"/>
      <c r="O18" s="68"/>
    </row>
    <row r="19" spans="1:33" ht="16.5" customHeight="1" x14ac:dyDescent="0.2">
      <c r="B19" s="4" t="s">
        <v>18</v>
      </c>
      <c r="C19" s="230"/>
      <c r="D19" s="51">
        <v>24952</v>
      </c>
      <c r="E19" s="51" t="s">
        <v>249</v>
      </c>
      <c r="F19" s="51" t="s">
        <v>249</v>
      </c>
      <c r="G19" s="231">
        <v>13231</v>
      </c>
      <c r="H19" s="51">
        <f t="shared" ref="H19:L19" si="1">SUMIF($D66:$D90,H$17,$G66:$G90)</f>
        <v>0</v>
      </c>
      <c r="I19" s="51">
        <f t="shared" si="1"/>
        <v>0</v>
      </c>
      <c r="J19" s="51">
        <f t="shared" si="1"/>
        <v>0</v>
      </c>
      <c r="K19" s="51">
        <f t="shared" si="1"/>
        <v>0</v>
      </c>
      <c r="L19" s="51">
        <f t="shared" si="1"/>
        <v>0</v>
      </c>
      <c r="M19" s="201">
        <f>SUM(H66:H90)</f>
        <v>0</v>
      </c>
      <c r="N19" s="57">
        <f>SUM(I66:I90)</f>
        <v>0</v>
      </c>
      <c r="O19" s="11"/>
    </row>
    <row r="20" spans="1:33" ht="16.5" customHeight="1" x14ac:dyDescent="0.2">
      <c r="B20" s="5" t="s">
        <v>131</v>
      </c>
      <c r="C20" s="232">
        <v>1903</v>
      </c>
      <c r="D20" s="52">
        <v>355032</v>
      </c>
      <c r="E20" s="52" t="s">
        <v>250</v>
      </c>
      <c r="F20" s="52" t="s">
        <v>250</v>
      </c>
      <c r="G20" s="233">
        <v>13231</v>
      </c>
      <c r="H20" s="52">
        <f t="shared" ref="H20:L20" si="2">H18+H19</f>
        <v>0</v>
      </c>
      <c r="I20" s="52">
        <f t="shared" si="2"/>
        <v>0</v>
      </c>
      <c r="J20" s="52">
        <f t="shared" si="2"/>
        <v>0</v>
      </c>
      <c r="K20" s="52">
        <f t="shared" si="2"/>
        <v>0</v>
      </c>
      <c r="L20" s="52">
        <f t="shared" si="2"/>
        <v>0</v>
      </c>
      <c r="M20" s="202">
        <f>M18+M19</f>
        <v>0</v>
      </c>
      <c r="N20" s="57">
        <f>N19</f>
        <v>0</v>
      </c>
      <c r="O20" s="11"/>
    </row>
    <row r="21" spans="1:33" ht="16.5" customHeight="1" x14ac:dyDescent="0.2">
      <c r="K21" s="7"/>
      <c r="L21" s="4"/>
      <c r="M21" s="16"/>
      <c r="N21" s="11"/>
      <c r="O21" s="11"/>
    </row>
    <row r="22" spans="1:33" ht="21.75" customHeight="1" x14ac:dyDescent="0.2">
      <c r="K22" s="7"/>
      <c r="L22" s="4"/>
      <c r="M22" s="16"/>
      <c r="N22" s="11"/>
      <c r="O22" s="11"/>
    </row>
    <row r="23" spans="1:33" ht="15" customHeight="1" x14ac:dyDescent="0.2">
      <c r="A23" s="27"/>
      <c r="B23" s="27"/>
      <c r="C23" s="27"/>
      <c r="D23" s="27"/>
      <c r="E23" s="27"/>
      <c r="F23" s="27"/>
      <c r="H23" s="7"/>
      <c r="I23" s="7"/>
      <c r="J23" s="7"/>
      <c r="K23" s="7"/>
      <c r="L23" s="4"/>
      <c r="M23" s="16"/>
      <c r="N23" s="11"/>
      <c r="O23" s="11"/>
    </row>
    <row r="24" spans="1:33" ht="15" customHeight="1" x14ac:dyDescent="0.2"/>
    <row r="25" spans="1:33" s="10" customFormat="1" x14ac:dyDescent="0.2">
      <c r="AG25" s="1"/>
    </row>
    <row r="26" spans="1:33" ht="15" customHeight="1" x14ac:dyDescent="0.2">
      <c r="AG26" s="10"/>
    </row>
    <row r="27" spans="1:33" ht="15" customHeight="1" x14ac:dyDescent="0.2">
      <c r="AG27" s="10"/>
    </row>
    <row r="28" spans="1:33" ht="15" customHeight="1" x14ac:dyDescent="0.2">
      <c r="AG28" s="10"/>
    </row>
    <row r="29" spans="1:33" ht="15" customHeight="1" x14ac:dyDescent="0.2">
      <c r="AG29" s="10"/>
    </row>
    <row r="30" spans="1:33" ht="15" customHeight="1" x14ac:dyDescent="0.2">
      <c r="AG30" s="10"/>
    </row>
    <row r="31" spans="1:33" ht="15" customHeight="1" x14ac:dyDescent="0.2">
      <c r="AG31" s="10"/>
    </row>
    <row r="32" spans="1:33" ht="15" customHeight="1" x14ac:dyDescent="0.2">
      <c r="AG32" s="10"/>
    </row>
    <row r="33" spans="1:33" ht="15" customHeight="1" x14ac:dyDescent="0.2"/>
    <row r="34" spans="1:33" ht="15" customHeight="1" x14ac:dyDescent="0.2"/>
    <row r="35" spans="1:33" ht="15" customHeight="1" x14ac:dyDescent="0.2"/>
    <row r="36" spans="1:33" ht="16.5" customHeight="1" x14ac:dyDescent="0.2">
      <c r="A36" s="286" t="s">
        <v>22</v>
      </c>
      <c r="B36" s="6"/>
      <c r="C36" s="6"/>
      <c r="D36" s="9" t="s">
        <v>4</v>
      </c>
      <c r="E36" s="276" t="str">
        <f>B5</f>
        <v>Pacific Power &amp; Light Company</v>
      </c>
      <c r="F36" s="277"/>
      <c r="G36" s="278"/>
    </row>
    <row r="37" spans="1:33" ht="15" customHeight="1" x14ac:dyDescent="0.2">
      <c r="A37" s="286"/>
      <c r="D37" s="9" t="s">
        <v>13</v>
      </c>
      <c r="E37" s="283">
        <v>2016</v>
      </c>
      <c r="F37" s="284"/>
      <c r="G37" s="285"/>
    </row>
    <row r="38" spans="1:33" ht="15" customHeight="1" x14ac:dyDescent="0.2">
      <c r="D38" s="9"/>
      <c r="E38" s="41"/>
      <c r="F38" s="8"/>
      <c r="G38" s="8"/>
    </row>
    <row r="39" spans="1:33" s="10" customFormat="1" ht="52.5" customHeight="1" x14ac:dyDescent="0.2">
      <c r="A39" s="26" t="s">
        <v>19</v>
      </c>
      <c r="B39" s="58" t="s">
        <v>31</v>
      </c>
      <c r="C39" s="48" t="s">
        <v>175</v>
      </c>
      <c r="D39" s="59" t="s">
        <v>178</v>
      </c>
      <c r="E39" s="48" t="s">
        <v>190</v>
      </c>
      <c r="F39" s="48" t="s">
        <v>189</v>
      </c>
      <c r="G39" s="289" t="s">
        <v>184</v>
      </c>
      <c r="H39" s="289"/>
      <c r="I39" s="289"/>
      <c r="J39" s="289"/>
      <c r="K39" s="289"/>
      <c r="L39" s="13"/>
      <c r="M39" s="13"/>
      <c r="N39" s="13"/>
      <c r="AG39" s="7"/>
    </row>
    <row r="40" spans="1:33" ht="15" customHeight="1" x14ac:dyDescent="0.2">
      <c r="A40" s="187" t="s">
        <v>199</v>
      </c>
      <c r="B40" s="182" t="s">
        <v>207</v>
      </c>
      <c r="C40" s="182" t="s">
        <v>15</v>
      </c>
      <c r="D40" s="172" t="s">
        <v>179</v>
      </c>
      <c r="E40" s="210"/>
      <c r="F40" s="50">
        <f>IF(D40="Yes",0.2*E40,0)</f>
        <v>0</v>
      </c>
      <c r="G40" s="260"/>
      <c r="H40" s="261"/>
      <c r="I40" s="261"/>
      <c r="J40" s="261"/>
      <c r="K40" s="262"/>
      <c r="L40" s="13"/>
      <c r="M40" s="13"/>
      <c r="N40" s="13"/>
    </row>
    <row r="41" spans="1:33" ht="15" customHeight="1" x14ac:dyDescent="0.2">
      <c r="A41" s="188" t="s">
        <v>200</v>
      </c>
      <c r="B41" s="183" t="s">
        <v>208</v>
      </c>
      <c r="C41" s="183" t="s">
        <v>15</v>
      </c>
      <c r="D41" s="72" t="s">
        <v>179</v>
      </c>
      <c r="E41" s="211"/>
      <c r="F41" s="60">
        <f t="shared" ref="F41:F59" si="3">IF(D41="Yes",0.2*E41,0)</f>
        <v>0</v>
      </c>
      <c r="G41" s="263"/>
      <c r="H41" s="264"/>
      <c r="I41" s="264"/>
      <c r="J41" s="264"/>
      <c r="K41" s="265"/>
      <c r="L41" s="13"/>
      <c r="M41" s="13"/>
      <c r="N41" s="13"/>
    </row>
    <row r="42" spans="1:33" ht="15" customHeight="1" x14ac:dyDescent="0.2">
      <c r="A42" s="188" t="s">
        <v>201</v>
      </c>
      <c r="B42" s="183" t="s">
        <v>209</v>
      </c>
      <c r="C42" s="183" t="s">
        <v>15</v>
      </c>
      <c r="D42" s="72" t="s">
        <v>179</v>
      </c>
      <c r="E42" s="211"/>
      <c r="F42" s="60">
        <f t="shared" si="3"/>
        <v>0</v>
      </c>
      <c r="G42" s="117"/>
      <c r="H42" s="118"/>
      <c r="I42" s="118"/>
      <c r="J42" s="118"/>
      <c r="K42" s="119"/>
      <c r="L42" s="13"/>
      <c r="M42" s="13"/>
      <c r="N42" s="13"/>
    </row>
    <row r="43" spans="1:33" ht="15" customHeight="1" x14ac:dyDescent="0.2">
      <c r="A43" s="189" t="s">
        <v>202</v>
      </c>
      <c r="B43" s="186" t="s">
        <v>210</v>
      </c>
      <c r="C43" s="183" t="s">
        <v>15</v>
      </c>
      <c r="D43" s="72" t="s">
        <v>179</v>
      </c>
      <c r="E43" s="211"/>
      <c r="F43" s="60">
        <f t="shared" si="3"/>
        <v>0</v>
      </c>
      <c r="G43" s="263"/>
      <c r="H43" s="264"/>
      <c r="I43" s="264"/>
      <c r="J43" s="264"/>
      <c r="K43" s="265"/>
      <c r="L43" s="13"/>
      <c r="M43" s="13"/>
      <c r="N43" s="13"/>
    </row>
    <row r="44" spans="1:33" ht="15" customHeight="1" x14ac:dyDescent="0.2">
      <c r="A44" s="188" t="s">
        <v>203</v>
      </c>
      <c r="B44" s="183" t="s">
        <v>225</v>
      </c>
      <c r="C44" s="183" t="s">
        <v>15</v>
      </c>
      <c r="D44" s="72" t="s">
        <v>179</v>
      </c>
      <c r="E44" s="211"/>
      <c r="F44" s="60">
        <f t="shared" si="3"/>
        <v>0</v>
      </c>
      <c r="G44" s="263"/>
      <c r="H44" s="264"/>
      <c r="I44" s="264"/>
      <c r="J44" s="264"/>
      <c r="K44" s="265"/>
      <c r="L44" s="13"/>
      <c r="M44" s="13"/>
      <c r="N44" s="13"/>
    </row>
    <row r="45" spans="1:33" ht="15" customHeight="1" x14ac:dyDescent="0.2">
      <c r="A45" s="190" t="s">
        <v>204</v>
      </c>
      <c r="B45" s="184" t="s">
        <v>226</v>
      </c>
      <c r="C45" s="183" t="s">
        <v>15</v>
      </c>
      <c r="D45" s="72" t="s">
        <v>179</v>
      </c>
      <c r="E45" s="211"/>
      <c r="F45" s="60">
        <f t="shared" si="3"/>
        <v>0</v>
      </c>
      <c r="G45" s="263"/>
      <c r="H45" s="264"/>
      <c r="I45" s="264"/>
      <c r="J45" s="264"/>
      <c r="K45" s="265"/>
      <c r="L45" s="13"/>
      <c r="M45" s="13"/>
      <c r="N45" s="13"/>
    </row>
    <row r="46" spans="1:33" ht="15" customHeight="1" x14ac:dyDescent="0.2">
      <c r="A46" s="190" t="s">
        <v>205</v>
      </c>
      <c r="B46" s="184" t="s">
        <v>227</v>
      </c>
      <c r="C46" s="183" t="s">
        <v>15</v>
      </c>
      <c r="D46" s="72" t="s">
        <v>179</v>
      </c>
      <c r="E46" s="211"/>
      <c r="F46" s="60">
        <f t="shared" si="3"/>
        <v>0</v>
      </c>
      <c r="G46" s="263"/>
      <c r="H46" s="264"/>
      <c r="I46" s="264"/>
      <c r="J46" s="264"/>
      <c r="K46" s="265"/>
      <c r="L46" s="13"/>
      <c r="M46" s="13"/>
      <c r="N46" s="13"/>
    </row>
    <row r="47" spans="1:33" ht="15" customHeight="1" x14ac:dyDescent="0.2">
      <c r="A47" s="190" t="s">
        <v>206</v>
      </c>
      <c r="B47" s="184" t="s">
        <v>228</v>
      </c>
      <c r="C47" s="183" t="s">
        <v>15</v>
      </c>
      <c r="D47" s="72" t="s">
        <v>179</v>
      </c>
      <c r="E47" s="211"/>
      <c r="F47" s="60">
        <f t="shared" si="3"/>
        <v>0</v>
      </c>
      <c r="G47" s="263"/>
      <c r="H47" s="264"/>
      <c r="I47" s="264"/>
      <c r="J47" s="264"/>
      <c r="K47" s="265"/>
      <c r="L47" s="13"/>
      <c r="M47" s="13"/>
      <c r="N47" s="13"/>
    </row>
    <row r="48" spans="1:33" ht="15" customHeight="1" x14ac:dyDescent="0.2">
      <c r="A48" s="190" t="s">
        <v>238</v>
      </c>
      <c r="B48" s="184" t="s">
        <v>237</v>
      </c>
      <c r="C48" s="183" t="s">
        <v>15</v>
      </c>
      <c r="D48" s="72" t="s">
        <v>179</v>
      </c>
      <c r="E48" s="211"/>
      <c r="F48" s="60">
        <f t="shared" si="3"/>
        <v>0</v>
      </c>
      <c r="G48" s="263"/>
      <c r="H48" s="264"/>
      <c r="I48" s="264"/>
      <c r="J48" s="264"/>
      <c r="K48" s="265"/>
      <c r="L48" s="13"/>
      <c r="M48" s="13"/>
      <c r="N48" s="13"/>
    </row>
    <row r="49" spans="1:33" ht="15" customHeight="1" x14ac:dyDescent="0.2">
      <c r="A49" s="190" t="s">
        <v>233</v>
      </c>
      <c r="B49" s="184" t="s">
        <v>229</v>
      </c>
      <c r="C49" s="184" t="s">
        <v>14</v>
      </c>
      <c r="D49" s="72" t="s">
        <v>179</v>
      </c>
      <c r="E49" s="211"/>
      <c r="F49" s="60">
        <f t="shared" si="3"/>
        <v>0</v>
      </c>
      <c r="G49" s="263"/>
      <c r="H49" s="264"/>
      <c r="I49" s="264"/>
      <c r="J49" s="264"/>
      <c r="K49" s="265"/>
      <c r="L49" s="13"/>
      <c r="M49" s="13"/>
      <c r="N49" s="13"/>
    </row>
    <row r="50" spans="1:33" ht="15" customHeight="1" x14ac:dyDescent="0.2">
      <c r="A50" s="190" t="s">
        <v>234</v>
      </c>
      <c r="B50" s="184" t="s">
        <v>230</v>
      </c>
      <c r="C50" s="184" t="s">
        <v>14</v>
      </c>
      <c r="D50" s="72" t="s">
        <v>179</v>
      </c>
      <c r="E50" s="211"/>
      <c r="F50" s="60">
        <f t="shared" si="3"/>
        <v>0</v>
      </c>
      <c r="G50" s="263"/>
      <c r="H50" s="264"/>
      <c r="I50" s="264"/>
      <c r="J50" s="264"/>
      <c r="K50" s="265"/>
      <c r="L50" s="13"/>
      <c r="M50" s="13"/>
      <c r="N50" s="13"/>
    </row>
    <row r="51" spans="1:33" ht="15" customHeight="1" x14ac:dyDescent="0.2">
      <c r="A51" s="190" t="s">
        <v>235</v>
      </c>
      <c r="B51" s="184" t="s">
        <v>231</v>
      </c>
      <c r="C51" s="184" t="s">
        <v>14</v>
      </c>
      <c r="D51" s="72" t="s">
        <v>179</v>
      </c>
      <c r="E51" s="211"/>
      <c r="F51" s="60">
        <f t="shared" si="3"/>
        <v>0</v>
      </c>
      <c r="G51" s="263"/>
      <c r="H51" s="264"/>
      <c r="I51" s="264"/>
      <c r="J51" s="264"/>
      <c r="K51" s="265"/>
      <c r="L51" s="13"/>
      <c r="M51" s="13"/>
      <c r="N51" s="13"/>
    </row>
    <row r="52" spans="1:33" ht="15" customHeight="1" x14ac:dyDescent="0.2">
      <c r="A52" s="190" t="s">
        <v>236</v>
      </c>
      <c r="B52" s="184" t="s">
        <v>232</v>
      </c>
      <c r="C52" s="184" t="s">
        <v>14</v>
      </c>
      <c r="D52" s="72" t="s">
        <v>179</v>
      </c>
      <c r="E52" s="211"/>
      <c r="F52" s="60">
        <f t="shared" si="3"/>
        <v>0</v>
      </c>
      <c r="G52" s="263"/>
      <c r="H52" s="264"/>
      <c r="I52" s="264"/>
      <c r="J52" s="264"/>
      <c r="K52" s="265"/>
      <c r="L52" s="13"/>
      <c r="M52" s="13"/>
      <c r="N52" s="13"/>
    </row>
    <row r="53" spans="1:33" ht="15" customHeight="1" x14ac:dyDescent="0.2">
      <c r="A53" s="190"/>
      <c r="B53" s="184"/>
      <c r="C53" s="184"/>
      <c r="D53" s="72"/>
      <c r="E53" s="175"/>
      <c r="F53" s="60">
        <f t="shared" si="3"/>
        <v>0</v>
      </c>
      <c r="G53" s="263"/>
      <c r="H53" s="264"/>
      <c r="I53" s="264"/>
      <c r="J53" s="264"/>
      <c r="K53" s="265"/>
      <c r="L53" s="13"/>
      <c r="M53" s="13"/>
      <c r="N53" s="13"/>
    </row>
    <row r="54" spans="1:33" ht="15" customHeight="1" x14ac:dyDescent="0.2">
      <c r="A54" s="190" t="s">
        <v>247</v>
      </c>
      <c r="B54" s="184"/>
      <c r="C54" s="184"/>
      <c r="D54" s="72"/>
      <c r="E54" s="175">
        <v>331983</v>
      </c>
      <c r="F54" s="60">
        <f t="shared" si="3"/>
        <v>0</v>
      </c>
      <c r="G54" s="263"/>
      <c r="H54" s="264"/>
      <c r="I54" s="264"/>
      <c r="J54" s="264"/>
      <c r="K54" s="265"/>
      <c r="L54" s="13"/>
      <c r="M54" s="13"/>
      <c r="N54" s="13"/>
    </row>
    <row r="55" spans="1:33" ht="15" customHeight="1" x14ac:dyDescent="0.2">
      <c r="A55" s="190"/>
      <c r="B55" s="184"/>
      <c r="C55" s="184"/>
      <c r="D55" s="72"/>
      <c r="E55" s="175"/>
      <c r="F55" s="60">
        <f t="shared" si="3"/>
        <v>0</v>
      </c>
      <c r="G55" s="263"/>
      <c r="H55" s="264"/>
      <c r="I55" s="264"/>
      <c r="J55" s="264"/>
      <c r="K55" s="265"/>
      <c r="L55" s="13"/>
      <c r="M55" s="13"/>
      <c r="N55" s="13"/>
    </row>
    <row r="56" spans="1:33" ht="15" customHeight="1" x14ac:dyDescent="0.2">
      <c r="A56" s="190"/>
      <c r="B56" s="184"/>
      <c r="C56" s="184"/>
      <c r="D56" s="72"/>
      <c r="E56" s="175"/>
      <c r="F56" s="60">
        <f t="shared" si="3"/>
        <v>0</v>
      </c>
      <c r="G56" s="263"/>
      <c r="H56" s="264"/>
      <c r="I56" s="264"/>
      <c r="J56" s="264"/>
      <c r="K56" s="265"/>
      <c r="L56" s="13"/>
      <c r="M56" s="13"/>
      <c r="N56" s="13"/>
    </row>
    <row r="57" spans="1:33" ht="15" customHeight="1" x14ac:dyDescent="0.2">
      <c r="A57" s="190"/>
      <c r="B57" s="184"/>
      <c r="C57" s="184"/>
      <c r="D57" s="72"/>
      <c r="E57" s="175"/>
      <c r="F57" s="60">
        <f t="shared" si="3"/>
        <v>0</v>
      </c>
      <c r="G57" s="263"/>
      <c r="H57" s="264"/>
      <c r="I57" s="264"/>
      <c r="J57" s="264"/>
      <c r="K57" s="265"/>
      <c r="L57" s="13"/>
      <c r="M57" s="13"/>
      <c r="N57" s="13"/>
    </row>
    <row r="58" spans="1:33" ht="15" customHeight="1" x14ac:dyDescent="0.2">
      <c r="A58" s="190"/>
      <c r="B58" s="184"/>
      <c r="C58" s="184"/>
      <c r="D58" s="72"/>
      <c r="E58" s="175"/>
      <c r="F58" s="60">
        <f t="shared" si="3"/>
        <v>0</v>
      </c>
      <c r="G58" s="263"/>
      <c r="H58" s="264"/>
      <c r="I58" s="264"/>
      <c r="J58" s="264"/>
      <c r="K58" s="265"/>
      <c r="L58" s="13"/>
      <c r="M58" s="13"/>
      <c r="N58" s="13"/>
    </row>
    <row r="59" spans="1:33" ht="15" customHeight="1" x14ac:dyDescent="0.2">
      <c r="A59" s="191"/>
      <c r="B59" s="185"/>
      <c r="C59" s="185"/>
      <c r="D59" s="116"/>
      <c r="E59" s="176"/>
      <c r="F59" s="61">
        <f t="shared" si="3"/>
        <v>0</v>
      </c>
      <c r="G59" s="257"/>
      <c r="H59" s="258"/>
      <c r="I59" s="258"/>
      <c r="J59" s="258"/>
      <c r="K59" s="259"/>
      <c r="L59" s="13"/>
      <c r="M59" s="13"/>
      <c r="N59" s="13"/>
    </row>
    <row r="60" spans="1:33" ht="15" customHeight="1" x14ac:dyDescent="0.2">
      <c r="D60" s="7"/>
      <c r="E60" s="7"/>
      <c r="F60" s="7"/>
      <c r="G60" s="7"/>
      <c r="H60" s="7"/>
      <c r="I60" s="7"/>
      <c r="J60" s="7"/>
      <c r="K60" s="7"/>
      <c r="L60" s="7"/>
      <c r="M60" s="7"/>
    </row>
    <row r="61" spans="1:33" ht="17.25" customHeight="1" x14ac:dyDescent="0.2">
      <c r="A61" s="286" t="s">
        <v>18</v>
      </c>
      <c r="B61" s="286"/>
      <c r="C61" s="6"/>
      <c r="D61" s="9" t="s">
        <v>4</v>
      </c>
      <c r="E61" s="276" t="str">
        <f>B5</f>
        <v>Pacific Power &amp; Light Company</v>
      </c>
      <c r="F61" s="277"/>
      <c r="G61" s="278"/>
    </row>
    <row r="62" spans="1:33" ht="15" customHeight="1" x14ac:dyDescent="0.2">
      <c r="A62" s="286"/>
      <c r="B62" s="286"/>
      <c r="D62" s="9" t="s">
        <v>13</v>
      </c>
      <c r="E62" s="283">
        <v>2016</v>
      </c>
      <c r="F62" s="284"/>
      <c r="G62" s="285"/>
    </row>
    <row r="63" spans="1:33" ht="15" customHeight="1" x14ac:dyDescent="0.2">
      <c r="A63" s="9"/>
      <c r="B63" s="9"/>
      <c r="C63" s="9"/>
      <c r="D63" s="9"/>
      <c r="G63" s="12"/>
      <c r="H63" s="7"/>
    </row>
    <row r="64" spans="1:33" s="10" customFormat="1" ht="38.25" customHeight="1" x14ac:dyDescent="0.2">
      <c r="A64" s="9"/>
      <c r="B64" s="287" t="s">
        <v>31</v>
      </c>
      <c r="C64" s="287" t="s">
        <v>129</v>
      </c>
      <c r="D64" s="272" t="s">
        <v>175</v>
      </c>
      <c r="E64" s="272" t="s">
        <v>178</v>
      </c>
      <c r="F64" s="272" t="s">
        <v>181</v>
      </c>
      <c r="G64" s="67" t="s">
        <v>183</v>
      </c>
      <c r="H64" s="67" t="s">
        <v>180</v>
      </c>
      <c r="I64" s="67" t="s">
        <v>182</v>
      </c>
      <c r="J64" s="274" t="s">
        <v>184</v>
      </c>
      <c r="K64" s="274"/>
      <c r="L64" s="274"/>
      <c r="M64" s="274"/>
      <c r="N64" s="13"/>
      <c r="O64" s="13"/>
      <c r="AG64" s="7"/>
    </row>
    <row r="65" spans="1:33" ht="15" customHeight="1" x14ac:dyDescent="0.2">
      <c r="A65" s="181" t="s">
        <v>19</v>
      </c>
      <c r="B65" s="288"/>
      <c r="C65" s="288"/>
      <c r="D65" s="273"/>
      <c r="E65" s="273"/>
      <c r="F65" s="273"/>
      <c r="G65" s="49" t="s">
        <v>130</v>
      </c>
      <c r="H65" s="49" t="s">
        <v>32</v>
      </c>
      <c r="I65" s="49" t="s">
        <v>32</v>
      </c>
      <c r="J65" s="274"/>
      <c r="K65" s="274"/>
      <c r="L65" s="274"/>
      <c r="M65" s="274"/>
      <c r="N65" s="13"/>
      <c r="O65" s="13"/>
      <c r="AG65" s="10"/>
    </row>
    <row r="66" spans="1:33" ht="15" customHeight="1" x14ac:dyDescent="0.2">
      <c r="A66" s="192" t="s">
        <v>212</v>
      </c>
      <c r="B66" s="193" t="s">
        <v>218</v>
      </c>
      <c r="C66" s="195">
        <v>2015</v>
      </c>
      <c r="D66" s="193" t="s">
        <v>16</v>
      </c>
      <c r="E66" s="72" t="s">
        <v>179</v>
      </c>
      <c r="F66" s="72" t="s">
        <v>179</v>
      </c>
      <c r="G66" s="212"/>
      <c r="H66" s="50">
        <f>IF(E66="Yes",0.2*G66,0)</f>
        <v>0</v>
      </c>
      <c r="I66" s="50">
        <f>IF(F66="Yes",G66,0)</f>
        <v>0</v>
      </c>
      <c r="J66" s="260"/>
      <c r="K66" s="261"/>
      <c r="L66" s="261"/>
      <c r="M66" s="262"/>
      <c r="N66" s="13"/>
      <c r="O66" s="13"/>
    </row>
    <row r="67" spans="1:33" ht="15" customHeight="1" x14ac:dyDescent="0.2">
      <c r="A67" s="190" t="s">
        <v>211</v>
      </c>
      <c r="B67" s="194" t="s">
        <v>219</v>
      </c>
      <c r="C67" s="196">
        <v>2015</v>
      </c>
      <c r="D67" s="194" t="s">
        <v>15</v>
      </c>
      <c r="E67" s="72" t="s">
        <v>179</v>
      </c>
      <c r="F67" s="72" t="s">
        <v>179</v>
      </c>
      <c r="G67" s="211"/>
      <c r="H67" s="122">
        <f t="shared" ref="H67:H89" si="4">IF(E67="Yes",0.2*G67,0)</f>
        <v>0</v>
      </c>
      <c r="I67" s="122">
        <f>IF(F67="Yes",G67,0)</f>
        <v>0</v>
      </c>
      <c r="J67" s="263"/>
      <c r="K67" s="264"/>
      <c r="L67" s="264"/>
      <c r="M67" s="265"/>
      <c r="N67" s="13"/>
      <c r="O67" s="13"/>
    </row>
    <row r="68" spans="1:33" ht="15" customHeight="1" x14ac:dyDescent="0.2">
      <c r="A68" s="190" t="s">
        <v>213</v>
      </c>
      <c r="B68" s="194" t="s">
        <v>220</v>
      </c>
      <c r="C68" s="196">
        <v>2015</v>
      </c>
      <c r="D68" s="194" t="s">
        <v>16</v>
      </c>
      <c r="E68" s="72" t="s">
        <v>179</v>
      </c>
      <c r="F68" s="72" t="s">
        <v>179</v>
      </c>
      <c r="G68" s="211"/>
      <c r="H68" s="122">
        <f t="shared" si="4"/>
        <v>0</v>
      </c>
      <c r="I68" s="122">
        <f t="shared" ref="I68:I90" si="5">IF(F68="Yes",G68,0)</f>
        <v>0</v>
      </c>
      <c r="J68" s="263"/>
      <c r="K68" s="264"/>
      <c r="L68" s="264"/>
      <c r="M68" s="265"/>
      <c r="N68" s="13"/>
      <c r="O68" s="13"/>
    </row>
    <row r="69" spans="1:33" ht="15" customHeight="1" x14ac:dyDescent="0.2">
      <c r="A69" s="190" t="s">
        <v>214</v>
      </c>
      <c r="B69" s="194" t="s">
        <v>221</v>
      </c>
      <c r="C69" s="196">
        <v>2015</v>
      </c>
      <c r="D69" s="194" t="s">
        <v>15</v>
      </c>
      <c r="E69" s="72" t="s">
        <v>179</v>
      </c>
      <c r="F69" s="72" t="s">
        <v>179</v>
      </c>
      <c r="G69" s="211"/>
      <c r="H69" s="122">
        <f t="shared" si="4"/>
        <v>0</v>
      </c>
      <c r="I69" s="122">
        <f t="shared" si="5"/>
        <v>0</v>
      </c>
      <c r="J69" s="263"/>
      <c r="K69" s="264"/>
      <c r="L69" s="264"/>
      <c r="M69" s="265"/>
      <c r="N69" s="13"/>
      <c r="O69" s="13"/>
    </row>
    <row r="70" spans="1:33" ht="15" customHeight="1" x14ac:dyDescent="0.2">
      <c r="A70" s="190" t="s">
        <v>215</v>
      </c>
      <c r="B70" s="194" t="s">
        <v>222</v>
      </c>
      <c r="C70" s="196">
        <v>2015</v>
      </c>
      <c r="D70" s="194" t="s">
        <v>15</v>
      </c>
      <c r="E70" s="72" t="s">
        <v>179</v>
      </c>
      <c r="F70" s="72" t="s">
        <v>179</v>
      </c>
      <c r="G70" s="211"/>
      <c r="H70" s="122">
        <f t="shared" si="4"/>
        <v>0</v>
      </c>
      <c r="I70" s="122">
        <f t="shared" si="5"/>
        <v>0</v>
      </c>
      <c r="J70" s="263"/>
      <c r="K70" s="264"/>
      <c r="L70" s="264"/>
      <c r="M70" s="265"/>
      <c r="N70" s="13"/>
      <c r="O70" s="13"/>
    </row>
    <row r="71" spans="1:33" ht="15" customHeight="1" x14ac:dyDescent="0.2">
      <c r="A71" s="190" t="s">
        <v>216</v>
      </c>
      <c r="B71" s="194" t="s">
        <v>223</v>
      </c>
      <c r="C71" s="196">
        <v>2015</v>
      </c>
      <c r="D71" s="194" t="s">
        <v>15</v>
      </c>
      <c r="E71" s="170" t="s">
        <v>179</v>
      </c>
      <c r="F71" s="170" t="s">
        <v>179</v>
      </c>
      <c r="G71" s="211"/>
      <c r="H71" s="122">
        <f t="shared" si="4"/>
        <v>0</v>
      </c>
      <c r="I71" s="122">
        <f t="shared" si="5"/>
        <v>0</v>
      </c>
      <c r="J71" s="263"/>
      <c r="K71" s="264"/>
      <c r="L71" s="264"/>
      <c r="M71" s="265"/>
      <c r="N71" s="13"/>
      <c r="O71" s="13"/>
    </row>
    <row r="72" spans="1:33" ht="15" customHeight="1" x14ac:dyDescent="0.2">
      <c r="A72" s="190" t="s">
        <v>217</v>
      </c>
      <c r="B72" s="194" t="s">
        <v>224</v>
      </c>
      <c r="C72" s="196">
        <v>2015</v>
      </c>
      <c r="D72" s="194" t="s">
        <v>15</v>
      </c>
      <c r="E72" s="170" t="s">
        <v>179</v>
      </c>
      <c r="F72" s="170" t="s">
        <v>179</v>
      </c>
      <c r="G72" s="211"/>
      <c r="H72" s="122">
        <f t="shared" si="4"/>
        <v>0</v>
      </c>
      <c r="I72" s="122">
        <f t="shared" si="5"/>
        <v>0</v>
      </c>
      <c r="J72" s="263"/>
      <c r="K72" s="264"/>
      <c r="L72" s="264"/>
      <c r="M72" s="265"/>
      <c r="N72" s="13"/>
      <c r="O72" s="13"/>
    </row>
    <row r="73" spans="1:33" ht="15" customHeight="1" x14ac:dyDescent="0.2">
      <c r="A73" s="190"/>
      <c r="B73" s="194"/>
      <c r="C73" s="120"/>
      <c r="D73" s="194"/>
      <c r="E73" s="170" t="s">
        <v>179</v>
      </c>
      <c r="F73" s="170" t="s">
        <v>179</v>
      </c>
      <c r="G73" s="175"/>
      <c r="H73" s="122">
        <f t="shared" si="4"/>
        <v>0</v>
      </c>
      <c r="I73" s="122">
        <f t="shared" si="5"/>
        <v>0</v>
      </c>
      <c r="J73" s="263"/>
      <c r="K73" s="264"/>
      <c r="L73" s="264"/>
      <c r="M73" s="265"/>
      <c r="N73" s="13"/>
      <c r="O73" s="13"/>
    </row>
    <row r="74" spans="1:33" ht="15" customHeight="1" x14ac:dyDescent="0.2">
      <c r="A74" s="190" t="s">
        <v>248</v>
      </c>
      <c r="B74" s="194"/>
      <c r="C74" s="120"/>
      <c r="D74" s="194"/>
      <c r="E74" s="170" t="s">
        <v>179</v>
      </c>
      <c r="F74" s="170" t="s">
        <v>179</v>
      </c>
      <c r="G74" s="175">
        <v>38183</v>
      </c>
      <c r="H74" s="122">
        <f t="shared" si="4"/>
        <v>0</v>
      </c>
      <c r="I74" s="122">
        <f t="shared" si="5"/>
        <v>0</v>
      </c>
      <c r="J74" s="263"/>
      <c r="K74" s="264"/>
      <c r="L74" s="264"/>
      <c r="M74" s="265"/>
      <c r="N74" s="13"/>
      <c r="O74" s="13"/>
    </row>
    <row r="75" spans="1:33" ht="15" customHeight="1" x14ac:dyDescent="0.2">
      <c r="A75" s="120"/>
      <c r="B75" s="120"/>
      <c r="C75" s="120"/>
      <c r="D75" s="197"/>
      <c r="E75" s="72" t="s">
        <v>179</v>
      </c>
      <c r="F75" s="72" t="s">
        <v>179</v>
      </c>
      <c r="G75" s="120"/>
      <c r="H75" s="122">
        <f t="shared" si="4"/>
        <v>0</v>
      </c>
      <c r="I75" s="122">
        <f t="shared" si="5"/>
        <v>0</v>
      </c>
      <c r="J75" s="263"/>
      <c r="K75" s="264"/>
      <c r="L75" s="264"/>
      <c r="M75" s="265"/>
      <c r="N75" s="13"/>
      <c r="O75" s="13"/>
    </row>
    <row r="76" spans="1:33" ht="15" customHeight="1" x14ac:dyDescent="0.2">
      <c r="A76" s="120"/>
      <c r="B76" s="120"/>
      <c r="C76" s="120"/>
      <c r="D76" s="197"/>
      <c r="E76" s="72" t="s">
        <v>179</v>
      </c>
      <c r="F76" s="72" t="s">
        <v>179</v>
      </c>
      <c r="G76" s="120"/>
      <c r="H76" s="122">
        <f t="shared" si="4"/>
        <v>0</v>
      </c>
      <c r="I76" s="122">
        <f t="shared" si="5"/>
        <v>0</v>
      </c>
      <c r="J76" s="263"/>
      <c r="K76" s="264"/>
      <c r="L76" s="264"/>
      <c r="M76" s="265"/>
      <c r="N76" s="13"/>
      <c r="O76" s="13"/>
    </row>
    <row r="77" spans="1:33" ht="15" customHeight="1" x14ac:dyDescent="0.2">
      <c r="A77" s="120"/>
      <c r="B77" s="120"/>
      <c r="C77" s="120"/>
      <c r="D77" s="197"/>
      <c r="E77" s="72" t="s">
        <v>179</v>
      </c>
      <c r="F77" s="72" t="s">
        <v>179</v>
      </c>
      <c r="G77" s="120"/>
      <c r="H77" s="122">
        <f t="shared" si="4"/>
        <v>0</v>
      </c>
      <c r="I77" s="122">
        <f t="shared" si="5"/>
        <v>0</v>
      </c>
      <c r="J77" s="263"/>
      <c r="K77" s="264"/>
      <c r="L77" s="264"/>
      <c r="M77" s="265"/>
      <c r="N77" s="13"/>
      <c r="O77" s="13"/>
    </row>
    <row r="78" spans="1:33" ht="15" customHeight="1" x14ac:dyDescent="0.2">
      <c r="A78" s="120"/>
      <c r="B78" s="120"/>
      <c r="C78" s="120"/>
      <c r="D78" s="197"/>
      <c r="E78" s="72" t="s">
        <v>179</v>
      </c>
      <c r="F78" s="72" t="s">
        <v>179</v>
      </c>
      <c r="G78" s="120"/>
      <c r="H78" s="122">
        <f t="shared" si="4"/>
        <v>0</v>
      </c>
      <c r="I78" s="122">
        <f t="shared" si="5"/>
        <v>0</v>
      </c>
      <c r="J78" s="263"/>
      <c r="K78" s="264"/>
      <c r="L78" s="264"/>
      <c r="M78" s="265"/>
      <c r="N78" s="13"/>
      <c r="O78" s="13"/>
    </row>
    <row r="79" spans="1:33" ht="15" customHeight="1" x14ac:dyDescent="0.2">
      <c r="A79" s="120"/>
      <c r="B79" s="120"/>
      <c r="C79" s="120"/>
      <c r="D79" s="197"/>
      <c r="E79" s="72" t="s">
        <v>179</v>
      </c>
      <c r="F79" s="72" t="s">
        <v>179</v>
      </c>
      <c r="G79" s="120"/>
      <c r="H79" s="122">
        <f t="shared" si="4"/>
        <v>0</v>
      </c>
      <c r="I79" s="122">
        <f t="shared" si="5"/>
        <v>0</v>
      </c>
      <c r="J79" s="263"/>
      <c r="K79" s="264"/>
      <c r="L79" s="264"/>
      <c r="M79" s="265"/>
      <c r="N79" s="13"/>
      <c r="O79" s="13"/>
    </row>
    <row r="80" spans="1:33" ht="15" customHeight="1" x14ac:dyDescent="0.2">
      <c r="A80" s="120"/>
      <c r="B80" s="120"/>
      <c r="C80" s="120"/>
      <c r="D80" s="197"/>
      <c r="E80" s="72" t="s">
        <v>179</v>
      </c>
      <c r="F80" s="72" t="s">
        <v>179</v>
      </c>
      <c r="G80" s="120"/>
      <c r="H80" s="122">
        <f t="shared" si="4"/>
        <v>0</v>
      </c>
      <c r="I80" s="122">
        <f t="shared" si="5"/>
        <v>0</v>
      </c>
      <c r="J80" s="263"/>
      <c r="K80" s="264"/>
      <c r="L80" s="264"/>
      <c r="M80" s="265"/>
      <c r="N80" s="13"/>
      <c r="O80" s="13"/>
    </row>
    <row r="81" spans="1:15" ht="15" customHeight="1" x14ac:dyDescent="0.2">
      <c r="A81" s="120"/>
      <c r="B81" s="120"/>
      <c r="C81" s="120"/>
      <c r="D81" s="197"/>
      <c r="E81" s="72" t="s">
        <v>179</v>
      </c>
      <c r="F81" s="72" t="s">
        <v>179</v>
      </c>
      <c r="G81" s="120"/>
      <c r="H81" s="122">
        <f t="shared" si="4"/>
        <v>0</v>
      </c>
      <c r="I81" s="122">
        <f t="shared" si="5"/>
        <v>0</v>
      </c>
      <c r="J81" s="263"/>
      <c r="K81" s="264"/>
      <c r="L81" s="264"/>
      <c r="M81" s="265"/>
      <c r="N81" s="13"/>
      <c r="O81" s="13"/>
    </row>
    <row r="82" spans="1:15" ht="15" customHeight="1" x14ac:dyDescent="0.2">
      <c r="A82" s="120"/>
      <c r="B82" s="120"/>
      <c r="C82" s="120"/>
      <c r="D82" s="197"/>
      <c r="E82" s="72" t="s">
        <v>179</v>
      </c>
      <c r="F82" s="72" t="s">
        <v>179</v>
      </c>
      <c r="G82" s="120"/>
      <c r="H82" s="122">
        <f t="shared" si="4"/>
        <v>0</v>
      </c>
      <c r="I82" s="122">
        <f t="shared" si="5"/>
        <v>0</v>
      </c>
      <c r="J82" s="263"/>
      <c r="K82" s="264"/>
      <c r="L82" s="264"/>
      <c r="M82" s="265"/>
      <c r="N82" s="13"/>
      <c r="O82" s="13"/>
    </row>
    <row r="83" spans="1:15" ht="15" customHeight="1" x14ac:dyDescent="0.2">
      <c r="A83" s="120"/>
      <c r="B83" s="120"/>
      <c r="C83" s="120"/>
      <c r="D83" s="197"/>
      <c r="E83" s="72" t="s">
        <v>179</v>
      </c>
      <c r="F83" s="72" t="s">
        <v>179</v>
      </c>
      <c r="G83" s="120"/>
      <c r="H83" s="122">
        <f t="shared" si="4"/>
        <v>0</v>
      </c>
      <c r="I83" s="122">
        <f t="shared" si="5"/>
        <v>0</v>
      </c>
      <c r="J83" s="263"/>
      <c r="K83" s="264"/>
      <c r="L83" s="264"/>
      <c r="M83" s="265"/>
      <c r="N83" s="13"/>
      <c r="O83" s="13"/>
    </row>
    <row r="84" spans="1:15" ht="15" customHeight="1" x14ac:dyDescent="0.2">
      <c r="A84" s="120"/>
      <c r="B84" s="120"/>
      <c r="C84" s="120"/>
      <c r="D84" s="197"/>
      <c r="E84" s="72" t="s">
        <v>179</v>
      </c>
      <c r="F84" s="72" t="s">
        <v>179</v>
      </c>
      <c r="G84" s="120"/>
      <c r="H84" s="122">
        <f t="shared" si="4"/>
        <v>0</v>
      </c>
      <c r="I84" s="122">
        <f t="shared" si="5"/>
        <v>0</v>
      </c>
      <c r="J84" s="263"/>
      <c r="K84" s="264"/>
      <c r="L84" s="264"/>
      <c r="M84" s="265"/>
      <c r="N84" s="13"/>
      <c r="O84" s="13"/>
    </row>
    <row r="85" spans="1:15" ht="15" customHeight="1" x14ac:dyDescent="0.2">
      <c r="A85" s="120"/>
      <c r="B85" s="120"/>
      <c r="C85" s="120"/>
      <c r="D85" s="197"/>
      <c r="E85" s="72" t="s">
        <v>179</v>
      </c>
      <c r="F85" s="72" t="s">
        <v>179</v>
      </c>
      <c r="G85" s="120"/>
      <c r="H85" s="122">
        <f t="shared" si="4"/>
        <v>0</v>
      </c>
      <c r="I85" s="122">
        <f t="shared" si="5"/>
        <v>0</v>
      </c>
      <c r="J85" s="263"/>
      <c r="K85" s="264"/>
      <c r="L85" s="264"/>
      <c r="M85" s="265"/>
      <c r="N85" s="13"/>
      <c r="O85" s="13"/>
    </row>
    <row r="86" spans="1:15" ht="15" customHeight="1" x14ac:dyDescent="0.2">
      <c r="A86" s="120"/>
      <c r="B86" s="120"/>
      <c r="C86" s="120"/>
      <c r="D86" s="197"/>
      <c r="E86" s="72" t="s">
        <v>179</v>
      </c>
      <c r="F86" s="72" t="s">
        <v>179</v>
      </c>
      <c r="G86" s="120"/>
      <c r="H86" s="122">
        <f t="shared" si="4"/>
        <v>0</v>
      </c>
      <c r="I86" s="122">
        <f t="shared" si="5"/>
        <v>0</v>
      </c>
      <c r="J86" s="263"/>
      <c r="K86" s="264"/>
      <c r="L86" s="264"/>
      <c r="M86" s="265"/>
      <c r="N86" s="13"/>
      <c r="O86" s="13"/>
    </row>
    <row r="87" spans="1:15" ht="15" customHeight="1" x14ac:dyDescent="0.2">
      <c r="A87" s="120"/>
      <c r="B87" s="120"/>
      <c r="C87" s="120"/>
      <c r="D87" s="197"/>
      <c r="E87" s="72" t="s">
        <v>179</v>
      </c>
      <c r="F87" s="72" t="s">
        <v>179</v>
      </c>
      <c r="G87" s="120"/>
      <c r="H87" s="122">
        <f t="shared" si="4"/>
        <v>0</v>
      </c>
      <c r="I87" s="122">
        <f t="shared" si="5"/>
        <v>0</v>
      </c>
      <c r="J87" s="263"/>
      <c r="K87" s="264"/>
      <c r="L87" s="264"/>
      <c r="M87" s="265"/>
      <c r="N87" s="13"/>
      <c r="O87" s="13"/>
    </row>
    <row r="88" spans="1:15" ht="15" customHeight="1" x14ac:dyDescent="0.2">
      <c r="A88" s="120"/>
      <c r="B88" s="120"/>
      <c r="C88" s="120"/>
      <c r="D88" s="197"/>
      <c r="E88" s="72" t="s">
        <v>179</v>
      </c>
      <c r="F88" s="72" t="s">
        <v>179</v>
      </c>
      <c r="G88" s="120"/>
      <c r="H88" s="122">
        <f t="shared" si="4"/>
        <v>0</v>
      </c>
      <c r="I88" s="122">
        <f t="shared" si="5"/>
        <v>0</v>
      </c>
      <c r="J88" s="263"/>
      <c r="K88" s="264"/>
      <c r="L88" s="264"/>
      <c r="M88" s="265"/>
      <c r="N88" s="13"/>
      <c r="O88" s="13"/>
    </row>
    <row r="89" spans="1:15" ht="15" customHeight="1" x14ac:dyDescent="0.2">
      <c r="A89" s="120"/>
      <c r="B89" s="120"/>
      <c r="C89" s="120"/>
      <c r="D89" s="197"/>
      <c r="E89" s="72" t="s">
        <v>179</v>
      </c>
      <c r="F89" s="72" t="s">
        <v>179</v>
      </c>
      <c r="G89" s="120"/>
      <c r="H89" s="122">
        <f t="shared" si="4"/>
        <v>0</v>
      </c>
      <c r="I89" s="122">
        <f t="shared" si="5"/>
        <v>0</v>
      </c>
      <c r="J89" s="263"/>
      <c r="K89" s="264"/>
      <c r="L89" s="264"/>
      <c r="M89" s="265"/>
      <c r="N89" s="13"/>
      <c r="O89" s="13"/>
    </row>
    <row r="90" spans="1:15" ht="15" customHeight="1" x14ac:dyDescent="0.2">
      <c r="A90" s="121"/>
      <c r="B90" s="121"/>
      <c r="C90" s="121"/>
      <c r="D90" s="198"/>
      <c r="E90" s="174" t="s">
        <v>179</v>
      </c>
      <c r="F90" s="171" t="s">
        <v>179</v>
      </c>
      <c r="G90" s="121"/>
      <c r="H90" s="51">
        <f>IF(E90="Yes",0.2*G90,0)</f>
        <v>0</v>
      </c>
      <c r="I90" s="51">
        <f t="shared" si="5"/>
        <v>0</v>
      </c>
      <c r="J90" s="257"/>
      <c r="K90" s="258"/>
      <c r="L90" s="258"/>
      <c r="M90" s="259"/>
      <c r="N90" s="13"/>
      <c r="O90" s="13"/>
    </row>
    <row r="91" spans="1:15" ht="15" customHeight="1" x14ac:dyDescent="0.2">
      <c r="N91" s="13"/>
      <c r="O91" s="13"/>
    </row>
    <row r="92" spans="1:15" ht="15" customHeight="1" x14ac:dyDescent="0.2">
      <c r="A92" s="10"/>
      <c r="B92" s="10"/>
      <c r="C92" s="10"/>
      <c r="D92" s="9" t="s">
        <v>4</v>
      </c>
      <c r="E92" s="276" t="str">
        <f>B5</f>
        <v>Pacific Power &amp; Light Company</v>
      </c>
      <c r="F92" s="277"/>
      <c r="G92" s="278"/>
      <c r="N92" s="13"/>
      <c r="O92" s="13"/>
    </row>
    <row r="93" spans="1:15" ht="15" customHeight="1" x14ac:dyDescent="0.2">
      <c r="D93" s="9" t="s">
        <v>13</v>
      </c>
      <c r="E93" s="283">
        <v>2016</v>
      </c>
      <c r="F93" s="284"/>
      <c r="G93" s="285"/>
    </row>
    <row r="94" spans="1:15" x14ac:dyDescent="0.2">
      <c r="A94" s="2" t="s">
        <v>39</v>
      </c>
      <c r="B94" s="47"/>
      <c r="C94" s="47"/>
      <c r="D94" s="47"/>
      <c r="E94" s="47"/>
      <c r="F94" s="47"/>
      <c r="G94" s="47"/>
      <c r="H94" s="47"/>
      <c r="I94" s="47"/>
      <c r="J94" s="47"/>
      <c r="K94" s="47"/>
      <c r="L94" s="47"/>
    </row>
    <row r="95" spans="1:15" x14ac:dyDescent="0.2">
      <c r="A95" s="47"/>
      <c r="B95" s="47"/>
      <c r="C95" s="47"/>
      <c r="D95" s="47"/>
      <c r="E95" s="47"/>
      <c r="F95" s="47"/>
      <c r="G95" s="47"/>
      <c r="H95" s="47"/>
      <c r="I95" s="47"/>
      <c r="J95" s="47"/>
      <c r="K95" s="47"/>
      <c r="L95" s="47"/>
    </row>
    <row r="96" spans="1:15" x14ac:dyDescent="0.2">
      <c r="A96" s="47"/>
      <c r="B96" s="47"/>
      <c r="C96" s="47"/>
      <c r="D96" s="47"/>
      <c r="E96" s="47"/>
      <c r="F96" s="47"/>
      <c r="G96" s="47"/>
      <c r="H96" s="47"/>
      <c r="I96" s="47"/>
      <c r="J96" s="47"/>
      <c r="K96" s="47"/>
      <c r="L96" s="47"/>
    </row>
    <row r="97" spans="1:12" x14ac:dyDescent="0.2">
      <c r="A97" s="47"/>
      <c r="B97" s="47"/>
      <c r="C97" s="47"/>
      <c r="D97" s="47"/>
      <c r="E97" s="47"/>
      <c r="F97" s="47"/>
      <c r="G97" s="47"/>
      <c r="H97" s="47"/>
      <c r="I97" s="47"/>
      <c r="J97" s="47"/>
      <c r="K97" s="47"/>
      <c r="L97" s="47"/>
    </row>
    <row r="98" spans="1:12" x14ac:dyDescent="0.2">
      <c r="A98" s="47"/>
      <c r="B98" s="47"/>
      <c r="C98" s="47"/>
      <c r="D98" s="47"/>
      <c r="E98" s="47"/>
      <c r="F98" s="47"/>
      <c r="G98" s="47"/>
      <c r="H98" s="47"/>
      <c r="I98" s="47"/>
      <c r="J98" s="47"/>
      <c r="K98" s="47"/>
      <c r="L98" s="47"/>
    </row>
    <row r="99" spans="1:12" x14ac:dyDescent="0.2">
      <c r="A99" s="47"/>
      <c r="B99" s="47"/>
      <c r="C99" s="47"/>
      <c r="D99" s="47"/>
      <c r="E99" s="47"/>
      <c r="F99" s="47"/>
      <c r="G99" s="47"/>
      <c r="H99" s="47"/>
      <c r="I99" s="47"/>
      <c r="J99" s="47"/>
      <c r="K99" s="47"/>
      <c r="L99" s="47"/>
    </row>
    <row r="100" spans="1:12" x14ac:dyDescent="0.2">
      <c r="A100" s="47"/>
      <c r="B100" s="47"/>
      <c r="C100" s="47"/>
      <c r="D100" s="47"/>
      <c r="E100" s="47"/>
      <c r="F100" s="47"/>
      <c r="G100" s="47"/>
      <c r="H100" s="47"/>
      <c r="I100" s="47"/>
      <c r="J100" s="47"/>
      <c r="K100" s="47"/>
      <c r="L100" s="47"/>
    </row>
    <row r="101" spans="1:12" x14ac:dyDescent="0.2">
      <c r="A101" s="47"/>
      <c r="B101" s="47"/>
      <c r="C101" s="47"/>
      <c r="D101" s="47"/>
      <c r="E101" s="47"/>
      <c r="F101" s="47"/>
      <c r="G101" s="47"/>
      <c r="H101" s="47"/>
      <c r="I101" s="47"/>
      <c r="J101" s="47"/>
      <c r="K101" s="47"/>
      <c r="L101" s="47"/>
    </row>
    <row r="102" spans="1:12" x14ac:dyDescent="0.2">
      <c r="A102" s="47"/>
      <c r="B102" s="47"/>
      <c r="C102" s="47"/>
      <c r="D102" s="47"/>
      <c r="E102" s="47"/>
      <c r="F102" s="47"/>
      <c r="G102" s="47"/>
      <c r="H102" s="47"/>
      <c r="I102" s="47"/>
      <c r="J102" s="47"/>
      <c r="K102" s="47"/>
      <c r="L102" s="47"/>
    </row>
    <row r="103" spans="1:12" x14ac:dyDescent="0.2">
      <c r="A103" s="47"/>
      <c r="B103" s="47"/>
      <c r="C103" s="47"/>
      <c r="D103" s="47"/>
      <c r="E103" s="47"/>
      <c r="F103" s="47"/>
      <c r="G103" s="47"/>
      <c r="H103" s="47"/>
      <c r="I103" s="47"/>
      <c r="J103" s="47"/>
      <c r="K103" s="47"/>
      <c r="L103" s="47"/>
    </row>
    <row r="104" spans="1:12" x14ac:dyDescent="0.2">
      <c r="A104" s="47"/>
      <c r="B104" s="47"/>
      <c r="C104" s="47"/>
      <c r="D104" s="47"/>
      <c r="E104" s="47"/>
      <c r="F104" s="47"/>
      <c r="G104" s="47"/>
      <c r="H104" s="47"/>
      <c r="I104" s="47"/>
      <c r="J104" s="47"/>
      <c r="K104" s="47"/>
      <c r="L104" s="47"/>
    </row>
    <row r="105" spans="1:12" x14ac:dyDescent="0.2">
      <c r="A105" s="47"/>
      <c r="B105" s="47"/>
      <c r="C105" s="47"/>
      <c r="D105" s="47"/>
      <c r="E105" s="47"/>
      <c r="F105" s="47"/>
      <c r="G105" s="47"/>
      <c r="H105" s="47"/>
      <c r="I105" s="47"/>
      <c r="J105" s="47"/>
      <c r="K105" s="47"/>
      <c r="L105" s="47"/>
    </row>
    <row r="106" spans="1:12" x14ac:dyDescent="0.2">
      <c r="A106" s="47"/>
      <c r="B106" s="47"/>
      <c r="C106" s="47"/>
      <c r="D106" s="47"/>
      <c r="E106" s="47"/>
      <c r="F106" s="47"/>
      <c r="G106" s="47"/>
      <c r="H106" s="47"/>
      <c r="I106" s="47"/>
      <c r="J106" s="47"/>
      <c r="K106" s="47"/>
      <c r="L106" s="47"/>
    </row>
    <row r="107" spans="1:12" x14ac:dyDescent="0.2">
      <c r="A107" s="47"/>
      <c r="B107" s="47"/>
      <c r="C107" s="47"/>
      <c r="D107" s="47"/>
      <c r="E107" s="47"/>
      <c r="F107" s="47"/>
      <c r="G107" s="47"/>
      <c r="H107" s="47"/>
      <c r="I107" s="47"/>
      <c r="J107" s="47"/>
      <c r="K107" s="47"/>
      <c r="L107" s="47"/>
    </row>
    <row r="108" spans="1:12" x14ac:dyDescent="0.2">
      <c r="A108" s="47"/>
      <c r="B108" s="47"/>
      <c r="C108" s="47"/>
      <c r="D108" s="47"/>
      <c r="E108" s="47"/>
      <c r="F108" s="47"/>
      <c r="G108" s="47"/>
      <c r="H108" s="47"/>
      <c r="I108" s="47"/>
      <c r="J108" s="47"/>
      <c r="K108" s="47"/>
      <c r="L108" s="47"/>
    </row>
    <row r="109" spans="1:12" x14ac:dyDescent="0.2">
      <c r="A109" s="47"/>
      <c r="B109" s="47"/>
      <c r="C109" s="47"/>
      <c r="D109" s="47"/>
      <c r="E109" s="47"/>
      <c r="F109" s="47"/>
      <c r="G109" s="47"/>
      <c r="H109" s="47"/>
      <c r="I109" s="47"/>
      <c r="J109" s="47"/>
      <c r="K109" s="47"/>
      <c r="L109" s="47"/>
    </row>
    <row r="110" spans="1:12" x14ac:dyDescent="0.2">
      <c r="A110" s="47"/>
      <c r="B110" s="47"/>
      <c r="C110" s="47"/>
      <c r="D110" s="47"/>
      <c r="E110" s="47"/>
      <c r="F110" s="47"/>
      <c r="G110" s="47"/>
      <c r="H110" s="47"/>
      <c r="I110" s="47"/>
      <c r="J110" s="47"/>
      <c r="K110" s="47"/>
      <c r="L110" s="47"/>
    </row>
    <row r="111" spans="1:12" x14ac:dyDescent="0.2">
      <c r="A111" s="47"/>
      <c r="B111" s="47"/>
      <c r="C111" s="47"/>
      <c r="D111" s="47"/>
      <c r="E111" s="47"/>
      <c r="F111" s="47"/>
      <c r="G111" s="47"/>
      <c r="H111" s="47"/>
      <c r="I111" s="47"/>
      <c r="J111" s="47"/>
      <c r="K111" s="47"/>
      <c r="L111" s="47"/>
    </row>
    <row r="112" spans="1:12" x14ac:dyDescent="0.2">
      <c r="A112" s="47"/>
      <c r="B112" s="47"/>
      <c r="C112" s="47"/>
      <c r="D112" s="47"/>
      <c r="E112" s="47"/>
      <c r="F112" s="47"/>
      <c r="G112" s="47"/>
      <c r="H112" s="47"/>
      <c r="I112" s="47"/>
      <c r="J112" s="47"/>
      <c r="K112" s="47"/>
      <c r="L112" s="47"/>
    </row>
    <row r="113" spans="1:12" x14ac:dyDescent="0.2">
      <c r="A113" s="47"/>
      <c r="B113" s="47"/>
      <c r="C113" s="47"/>
      <c r="D113" s="47"/>
      <c r="E113" s="47"/>
      <c r="F113" s="47"/>
      <c r="G113" s="47"/>
      <c r="H113" s="47"/>
      <c r="I113" s="47"/>
      <c r="J113" s="47"/>
      <c r="K113" s="47"/>
      <c r="L113" s="47"/>
    </row>
    <row r="114" spans="1:12" x14ac:dyDescent="0.2">
      <c r="A114" s="47"/>
      <c r="B114" s="47"/>
      <c r="C114" s="47"/>
      <c r="D114" s="47"/>
      <c r="E114" s="47"/>
      <c r="F114" s="47"/>
      <c r="G114" s="47"/>
      <c r="H114" s="47"/>
      <c r="I114" s="47"/>
      <c r="J114" s="47"/>
      <c r="K114" s="47"/>
      <c r="L114" s="47"/>
    </row>
    <row r="115" spans="1:12" x14ac:dyDescent="0.2">
      <c r="A115" s="47"/>
      <c r="B115" s="47"/>
      <c r="C115" s="47"/>
      <c r="D115" s="47"/>
      <c r="E115" s="47"/>
      <c r="F115" s="47"/>
      <c r="G115" s="47"/>
      <c r="H115" s="47"/>
      <c r="I115" s="47"/>
      <c r="J115" s="47"/>
      <c r="K115" s="47"/>
      <c r="L115" s="47"/>
    </row>
  </sheetData>
  <mergeCells count="69">
    <mergeCell ref="E92:G92"/>
    <mergeCell ref="E93:G93"/>
    <mergeCell ref="E36:G36"/>
    <mergeCell ref="E37:G37"/>
    <mergeCell ref="A36:A37"/>
    <mergeCell ref="A61:B62"/>
    <mergeCell ref="C64:C65"/>
    <mergeCell ref="B64:B65"/>
    <mergeCell ref="D64:D65"/>
    <mergeCell ref="E64:E65"/>
    <mergeCell ref="E62:G62"/>
    <mergeCell ref="G51:K51"/>
    <mergeCell ref="G52:K52"/>
    <mergeCell ref="G53:K53"/>
    <mergeCell ref="G39:K39"/>
    <mergeCell ref="J70:M70"/>
    <mergeCell ref="B5:D5"/>
    <mergeCell ref="B6:D6"/>
    <mergeCell ref="B7:D7"/>
    <mergeCell ref="B8:D8"/>
    <mergeCell ref="B9:D9"/>
    <mergeCell ref="H4:M4"/>
    <mergeCell ref="F12:M12"/>
    <mergeCell ref="J67:M67"/>
    <mergeCell ref="J68:M68"/>
    <mergeCell ref="J69:M69"/>
    <mergeCell ref="G59:K59"/>
    <mergeCell ref="G54:K54"/>
    <mergeCell ref="G55:K55"/>
    <mergeCell ref="G56:K56"/>
    <mergeCell ref="G57:K57"/>
    <mergeCell ref="G58:K58"/>
    <mergeCell ref="F64:F65"/>
    <mergeCell ref="J64:M65"/>
    <mergeCell ref="J66:M66"/>
    <mergeCell ref="H16:L16"/>
    <mergeCell ref="E61:G61"/>
    <mergeCell ref="J71:M71"/>
    <mergeCell ref="J72:M72"/>
    <mergeCell ref="J73:M73"/>
    <mergeCell ref="J74:M74"/>
    <mergeCell ref="J75:M75"/>
    <mergeCell ref="J76:M76"/>
    <mergeCell ref="J77:M77"/>
    <mergeCell ref="J78:M78"/>
    <mergeCell ref="J79:M79"/>
    <mergeCell ref="J87:M87"/>
    <mergeCell ref="J89:M89"/>
    <mergeCell ref="J80:M80"/>
    <mergeCell ref="J81:M81"/>
    <mergeCell ref="J82:M82"/>
    <mergeCell ref="J83:M83"/>
    <mergeCell ref="J84:M84"/>
    <mergeCell ref="A1:N1"/>
    <mergeCell ref="A2:N2"/>
    <mergeCell ref="J90:M90"/>
    <mergeCell ref="G40:K40"/>
    <mergeCell ref="G41:K41"/>
    <mergeCell ref="G43:K43"/>
    <mergeCell ref="G44:K44"/>
    <mergeCell ref="G45:K45"/>
    <mergeCell ref="G46:K46"/>
    <mergeCell ref="G47:K47"/>
    <mergeCell ref="G48:K48"/>
    <mergeCell ref="G49:K49"/>
    <mergeCell ref="G50:K50"/>
    <mergeCell ref="J85:M85"/>
    <mergeCell ref="J86:M86"/>
    <mergeCell ref="J88:M88"/>
  </mergeCells>
  <dataValidations xWindow="354" yWindow="448" count="5">
    <dataValidation type="list" allowBlank="1" showInputMessage="1" showErrorMessage="1" promptTitle="Distributed Generation Eligibili" prompt="Use the drop down box to select &quot;Yes&quot; if the resource is eligible for the distributed generation additional credit. The amount is equal to 100 percent of the MWh reported and will be calculated." sqref="F66:F90">
      <formula1>"Yes,No"</formula1>
    </dataValidation>
    <dataValidation type="list" allowBlank="1" showInputMessage="1" showErrorMessage="1" error="REC Vintage must be 2015, 2016, or 2017. List each vintage year separately." sqref="C66:C90">
      <formula1>"2015,2016,2017"</formula1>
    </dataValidation>
    <dataValidation type="list" allowBlank="1" showInputMessage="1" showErrorMessage="1" promptTitle="Resource Type" prompt="Select from the drop down menu. Use scroll bar on the right side of the box to see the entire list of eligible resource types." sqref="D66:D90 C40:C59">
      <formula1>ResourceType</formula1>
    </dataValidation>
    <dataValidation type="list" allowBlank="1" showInputMessage="1" showErrorMessage="1" promptTitle="Apprentice Labor Eligibility" prompt="Use the drop down box to select &quot;Yes&quot; if the resource is eligible for the apprentice labor additional credit. The amount is equal to 20 percent of the MWh reported and will be calculated." sqref="E66:E90 D40:D59">
      <formula1>"Yes,No"</formula1>
    </dataValidation>
    <dataValidation allowBlank="1" showErrorMessage="1" sqref="A14"/>
  </dataValidations>
  <hyperlinks>
    <hyperlink ref="B9" r:id="rId1"/>
  </hyperlinks>
  <pageMargins left="0.7" right="0.7" top="0.75" bottom="0.75" header="0.3" footer="0.3"/>
  <pageSetup scale="70" fitToHeight="0" orientation="landscape" r:id="rId2"/>
  <rowBreaks count="3" manualBreakCount="3">
    <brk id="34" max="13" man="1"/>
    <brk id="60" max="13" man="1"/>
    <brk id="90" max="13" man="1"/>
  </rowBreaks>
  <drawing r:id="rId3"/>
  <legacyDrawing r:id="rId4"/>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pageSetUpPr fitToPage="1"/>
  </sheetPr>
  <dimension ref="B1:O61"/>
  <sheetViews>
    <sheetView showGridLines="0" zoomScaleNormal="100" zoomScaleSheetLayoutView="100" workbookViewId="0"/>
  </sheetViews>
  <sheetFormatPr defaultColWidth="9.140625" defaultRowHeight="12.75" x14ac:dyDescent="0.2"/>
  <cols>
    <col min="1" max="1" width="9.140625" style="69"/>
    <col min="2" max="2" width="30.140625" style="69" customWidth="1"/>
    <col min="3" max="3" width="10.85546875" style="69" customWidth="1"/>
    <col min="4" max="4" width="10.28515625" style="69" customWidth="1"/>
    <col min="5" max="5" width="14" style="69" customWidth="1"/>
    <col min="6" max="6" width="14.140625" style="69" customWidth="1"/>
    <col min="7" max="9" width="10.7109375" style="69" customWidth="1"/>
    <col min="10" max="10" width="15.7109375" style="69" customWidth="1"/>
    <col min="11" max="11" width="10.7109375" style="69" customWidth="1"/>
    <col min="12" max="12" width="16.5703125" style="69" customWidth="1"/>
    <col min="13" max="16384" width="9.140625" style="69"/>
  </cols>
  <sheetData>
    <row r="1" spans="2:15" ht="15" customHeight="1" x14ac:dyDescent="0.2">
      <c r="B1" s="293" t="s">
        <v>192</v>
      </c>
      <c r="C1" s="293"/>
      <c r="D1" s="293"/>
      <c r="E1" s="293"/>
      <c r="F1" s="293"/>
      <c r="G1" s="293"/>
      <c r="H1" s="293"/>
      <c r="I1" s="293"/>
      <c r="J1" s="293"/>
      <c r="K1" s="293"/>
      <c r="L1" s="293"/>
      <c r="M1" s="70"/>
      <c r="N1" s="70"/>
      <c r="O1" s="70"/>
    </row>
    <row r="2" spans="2:15" ht="15" customHeight="1" x14ac:dyDescent="0.2">
      <c r="B2" s="294" t="s">
        <v>193</v>
      </c>
      <c r="C2" s="294"/>
      <c r="D2" s="294"/>
      <c r="E2" s="294"/>
      <c r="F2" s="294"/>
      <c r="G2" s="294"/>
      <c r="H2" s="294"/>
      <c r="I2" s="294"/>
      <c r="J2" s="294"/>
      <c r="K2" s="294"/>
      <c r="L2" s="294"/>
      <c r="M2" s="70"/>
      <c r="N2" s="70"/>
      <c r="O2" s="70"/>
    </row>
    <row r="3" spans="2:15" s="70" customFormat="1" ht="19.5" x14ac:dyDescent="0.4">
      <c r="B3" s="124" t="s">
        <v>138</v>
      </c>
      <c r="C3" s="124"/>
      <c r="D3" s="124"/>
    </row>
    <row r="4" spans="2:15" ht="15" customHeight="1" x14ac:dyDescent="0.2">
      <c r="M4" s="70"/>
      <c r="N4" s="70"/>
      <c r="O4" s="70"/>
    </row>
    <row r="5" spans="2:15" ht="16.5" customHeight="1" x14ac:dyDescent="0.25">
      <c r="B5" s="125" t="s">
        <v>101</v>
      </c>
      <c r="C5" s="126"/>
      <c r="D5" s="126"/>
      <c r="E5" s="77" t="s">
        <v>4</v>
      </c>
      <c r="F5" s="295" t="str">
        <f>'Renewables Report'!$B$5</f>
        <v>Pacific Power &amp; Light Company</v>
      </c>
      <c r="G5" s="296"/>
      <c r="H5" s="297"/>
      <c r="M5" s="70"/>
      <c r="N5" s="70"/>
      <c r="O5" s="70"/>
    </row>
    <row r="6" spans="2:15" ht="15" customHeight="1" x14ac:dyDescent="0.2">
      <c r="E6" s="77" t="s">
        <v>13</v>
      </c>
      <c r="F6" s="298">
        <v>2016</v>
      </c>
      <c r="G6" s="299"/>
      <c r="H6" s="300"/>
    </row>
    <row r="7" spans="2:15" ht="15" customHeight="1" x14ac:dyDescent="0.2">
      <c r="E7" s="77"/>
      <c r="F7" s="78"/>
      <c r="G7" s="127"/>
      <c r="H7" s="127"/>
    </row>
    <row r="8" spans="2:15" ht="48" x14ac:dyDescent="0.2">
      <c r="B8" s="128" t="s">
        <v>19</v>
      </c>
      <c r="C8" s="129" t="s">
        <v>31</v>
      </c>
      <c r="D8" s="130" t="s">
        <v>7</v>
      </c>
      <c r="E8" s="131" t="s">
        <v>137</v>
      </c>
      <c r="F8" s="131" t="s">
        <v>96</v>
      </c>
      <c r="G8" s="301" t="s">
        <v>95</v>
      </c>
      <c r="H8" s="301"/>
      <c r="I8" s="301"/>
      <c r="J8" s="131" t="s">
        <v>136</v>
      </c>
      <c r="K8" s="131" t="s">
        <v>97</v>
      </c>
      <c r="L8" s="131" t="s">
        <v>135</v>
      </c>
    </row>
    <row r="9" spans="2:15" ht="15" customHeight="1" x14ac:dyDescent="0.2">
      <c r="B9" s="149" t="str">
        <f>'Renewables Report'!A40</f>
        <v>Goodnoe Hills</v>
      </c>
      <c r="C9" s="150" t="str">
        <f>'Renewables Report'!B40</f>
        <v>W536</v>
      </c>
      <c r="D9" s="213"/>
      <c r="E9" s="214"/>
      <c r="F9" s="215"/>
      <c r="G9" s="260"/>
      <c r="H9" s="261"/>
      <c r="I9" s="262"/>
      <c r="J9" s="132"/>
      <c r="K9" s="157" t="str">
        <f>IF(D9&gt;0,J9/D9,"")</f>
        <v/>
      </c>
      <c r="L9" s="215"/>
    </row>
    <row r="10" spans="2:15" ht="15" customHeight="1" x14ac:dyDescent="0.2">
      <c r="B10" s="151" t="str">
        <f>'Renewables Report'!A41</f>
        <v>Leaning Juniper</v>
      </c>
      <c r="C10" s="152" t="str">
        <f>'Renewables Report'!B41</f>
        <v>W200</v>
      </c>
      <c r="D10" s="216"/>
      <c r="E10" s="217"/>
      <c r="F10" s="218"/>
      <c r="G10" s="263"/>
      <c r="H10" s="264"/>
      <c r="I10" s="265"/>
      <c r="J10" s="133"/>
      <c r="K10" s="158" t="str">
        <f t="shared" ref="K10:K28" si="0">IF(D10&gt;0,J10/D10,"")</f>
        <v/>
      </c>
      <c r="L10" s="218"/>
    </row>
    <row r="11" spans="2:15" ht="15" customHeight="1" x14ac:dyDescent="0.2">
      <c r="B11" s="151" t="str">
        <f>'Renewables Report'!A42</f>
        <v>Marengo I</v>
      </c>
      <c r="C11" s="152" t="str">
        <f>'Renewables Report'!B42</f>
        <v>W185</v>
      </c>
      <c r="D11" s="216"/>
      <c r="E11" s="219"/>
      <c r="F11" s="218"/>
      <c r="G11" s="263"/>
      <c r="H11" s="264"/>
      <c r="I11" s="265"/>
      <c r="J11" s="133"/>
      <c r="K11" s="158" t="str">
        <f t="shared" si="0"/>
        <v/>
      </c>
      <c r="L11" s="218"/>
    </row>
    <row r="12" spans="2:15" ht="15" customHeight="1" x14ac:dyDescent="0.2">
      <c r="B12" s="151" t="str">
        <f>'Renewables Report'!A43</f>
        <v>Marengo II</v>
      </c>
      <c r="C12" s="152" t="str">
        <f>'Renewables Report'!B43</f>
        <v>W772</v>
      </c>
      <c r="D12" s="216"/>
      <c r="E12" s="220"/>
      <c r="F12" s="218"/>
      <c r="G12" s="263"/>
      <c r="H12" s="264"/>
      <c r="I12" s="265"/>
      <c r="J12" s="133"/>
      <c r="K12" s="158" t="str">
        <f t="shared" si="0"/>
        <v/>
      </c>
      <c r="L12" s="218"/>
    </row>
    <row r="13" spans="2:15" ht="15" customHeight="1" x14ac:dyDescent="0.2">
      <c r="B13" s="151" t="str">
        <f>'Renewables Report'!A44</f>
        <v>Campbell Hill/Three Buttes</v>
      </c>
      <c r="C13" s="152" t="str">
        <f>'Renewables Report'!B44</f>
        <v>W1383</v>
      </c>
      <c r="D13" s="216"/>
      <c r="E13" s="220"/>
      <c r="F13" s="218"/>
      <c r="G13" s="263"/>
      <c r="H13" s="264"/>
      <c r="I13" s="265"/>
      <c r="J13" s="133"/>
      <c r="K13" s="158" t="str">
        <f t="shared" si="0"/>
        <v/>
      </c>
      <c r="L13" s="218"/>
    </row>
    <row r="14" spans="2:15" ht="15" customHeight="1" x14ac:dyDescent="0.2">
      <c r="B14" s="151" t="str">
        <f>'Renewables Report'!A45</f>
        <v>Dunlap I</v>
      </c>
      <c r="C14" s="152" t="str">
        <f>'Renewables Report'!B45</f>
        <v>W1687</v>
      </c>
      <c r="D14" s="216"/>
      <c r="E14" s="220"/>
      <c r="F14" s="218"/>
      <c r="G14" s="263"/>
      <c r="H14" s="264"/>
      <c r="I14" s="265"/>
      <c r="J14" s="133"/>
      <c r="K14" s="158" t="str">
        <f t="shared" si="0"/>
        <v/>
      </c>
      <c r="L14" s="218"/>
    </row>
    <row r="15" spans="2:15" ht="15" customHeight="1" x14ac:dyDescent="0.2">
      <c r="B15" s="151" t="str">
        <f>'Renewables Report'!A46</f>
        <v>Glenrock Wind I</v>
      </c>
      <c r="C15" s="152" t="str">
        <f>'Renewables Report'!B46</f>
        <v>W964</v>
      </c>
      <c r="D15" s="216"/>
      <c r="E15" s="220"/>
      <c r="F15" s="218"/>
      <c r="G15" s="263"/>
      <c r="H15" s="264"/>
      <c r="I15" s="265"/>
      <c r="J15" s="133"/>
      <c r="K15" s="158" t="str">
        <f t="shared" si="0"/>
        <v/>
      </c>
      <c r="L15" s="218"/>
    </row>
    <row r="16" spans="2:15" ht="15" customHeight="1" x14ac:dyDescent="0.2">
      <c r="B16" s="151" t="str">
        <f>'Renewables Report'!A47</f>
        <v>Top of the World</v>
      </c>
      <c r="C16" s="152" t="str">
        <f>'Renewables Report'!B47</f>
        <v>W1749</v>
      </c>
      <c r="D16" s="216"/>
      <c r="E16" s="220"/>
      <c r="F16" s="218"/>
      <c r="G16" s="263"/>
      <c r="H16" s="264"/>
      <c r="I16" s="265"/>
      <c r="J16" s="133"/>
      <c r="K16" s="158" t="str">
        <f t="shared" si="0"/>
        <v/>
      </c>
      <c r="L16" s="218"/>
    </row>
    <row r="17" spans="2:12" ht="15" customHeight="1" x14ac:dyDescent="0.2">
      <c r="B17" s="151" t="str">
        <f>'Renewables Report'!A48</f>
        <v xml:space="preserve">Rolling Hills Wind </v>
      </c>
      <c r="C17" s="152" t="str">
        <f>'Renewables Report'!B48</f>
        <v>W928</v>
      </c>
      <c r="D17" s="216"/>
      <c r="E17" s="220"/>
      <c r="F17" s="218"/>
      <c r="G17" s="263"/>
      <c r="H17" s="264"/>
      <c r="I17" s="265"/>
      <c r="J17" s="133"/>
      <c r="K17" s="158" t="str">
        <f t="shared" si="0"/>
        <v/>
      </c>
      <c r="L17" s="218"/>
    </row>
    <row r="18" spans="2:12" ht="15" customHeight="1" x14ac:dyDescent="0.2">
      <c r="B18" s="151" t="str">
        <f>'Renewables Report'!A49</f>
        <v>Prospect 2 - Upgrade</v>
      </c>
      <c r="C18" s="152" t="str">
        <f>'Renewables Report'!B49</f>
        <v>W180</v>
      </c>
      <c r="D18" s="216"/>
      <c r="E18" s="221"/>
      <c r="F18" s="218"/>
      <c r="G18" s="263"/>
      <c r="H18" s="264"/>
      <c r="I18" s="265"/>
      <c r="J18" s="133"/>
      <c r="K18" s="158" t="str">
        <f t="shared" si="0"/>
        <v/>
      </c>
      <c r="L18" s="158">
        <f t="shared" ref="L18:L28" si="1">MAX(0,E18-J18)</f>
        <v>0</v>
      </c>
    </row>
    <row r="19" spans="2:12" ht="15" customHeight="1" x14ac:dyDescent="0.2">
      <c r="B19" s="151" t="str">
        <f>'Renewables Report'!A50</f>
        <v>Lemolo 1 - Upgrade</v>
      </c>
      <c r="C19" s="152" t="str">
        <f>'Renewables Report'!B50</f>
        <v>W157</v>
      </c>
      <c r="D19" s="216"/>
      <c r="E19" s="221"/>
      <c r="F19" s="218"/>
      <c r="G19" s="263"/>
      <c r="H19" s="264"/>
      <c r="I19" s="265"/>
      <c r="J19" s="133"/>
      <c r="K19" s="158" t="str">
        <f t="shared" si="0"/>
        <v/>
      </c>
      <c r="L19" s="158">
        <f t="shared" si="1"/>
        <v>0</v>
      </c>
    </row>
    <row r="20" spans="2:12" ht="15" customHeight="1" x14ac:dyDescent="0.2">
      <c r="B20" s="151" t="str">
        <f>'Renewables Report'!A51</f>
        <v>JC Boyle - Upgrade</v>
      </c>
      <c r="C20" s="152" t="str">
        <f>'Renewables Report'!B51</f>
        <v>W140</v>
      </c>
      <c r="D20" s="216"/>
      <c r="E20" s="221"/>
      <c r="F20" s="218"/>
      <c r="G20" s="263"/>
      <c r="H20" s="264"/>
      <c r="I20" s="265"/>
      <c r="J20" s="133"/>
      <c r="K20" s="158" t="str">
        <f t="shared" si="0"/>
        <v/>
      </c>
      <c r="L20" s="158">
        <f t="shared" si="1"/>
        <v>0</v>
      </c>
    </row>
    <row r="21" spans="2:12" ht="15" customHeight="1" x14ac:dyDescent="0.2">
      <c r="B21" s="151" t="str">
        <f>'Renewables Report'!A52</f>
        <v>Lemolo 2 - Upgrade</v>
      </c>
      <c r="C21" s="152" t="str">
        <f>'Renewables Report'!B52</f>
        <v>W158</v>
      </c>
      <c r="D21" s="216"/>
      <c r="E21" s="221"/>
      <c r="F21" s="218"/>
      <c r="G21" s="263"/>
      <c r="H21" s="264"/>
      <c r="I21" s="265"/>
      <c r="J21" s="133"/>
      <c r="K21" s="158" t="str">
        <f t="shared" si="0"/>
        <v/>
      </c>
      <c r="L21" s="158">
        <f t="shared" si="1"/>
        <v>0</v>
      </c>
    </row>
    <row r="22" spans="2:12" ht="15" customHeight="1" x14ac:dyDescent="0.2">
      <c r="B22" s="151">
        <f>'Renewables Report'!A53</f>
        <v>0</v>
      </c>
      <c r="C22" s="152">
        <f>'Renewables Report'!B53</f>
        <v>0</v>
      </c>
      <c r="D22" s="153">
        <f>SUM('Renewables Report'!E53)</f>
        <v>0</v>
      </c>
      <c r="E22" s="133"/>
      <c r="F22" s="158" t="str">
        <f t="shared" ref="F22:F28" si="2">IF(D22&gt;0,E22/D22,"")</f>
        <v/>
      </c>
      <c r="G22" s="263"/>
      <c r="H22" s="264"/>
      <c r="I22" s="265"/>
      <c r="J22" s="133"/>
      <c r="K22" s="158" t="str">
        <f t="shared" si="0"/>
        <v/>
      </c>
      <c r="L22" s="158">
        <f t="shared" si="1"/>
        <v>0</v>
      </c>
    </row>
    <row r="23" spans="2:12" ht="15" customHeight="1" x14ac:dyDescent="0.2">
      <c r="B23" s="151"/>
      <c r="C23" s="152">
        <f>'Renewables Report'!B54</f>
        <v>0</v>
      </c>
      <c r="D23" s="153"/>
      <c r="E23" s="133"/>
      <c r="F23" s="158" t="str">
        <f t="shared" si="2"/>
        <v/>
      </c>
      <c r="G23" s="263"/>
      <c r="H23" s="264"/>
      <c r="I23" s="265"/>
      <c r="J23" s="133"/>
      <c r="K23" s="158" t="str">
        <f t="shared" si="0"/>
        <v/>
      </c>
      <c r="L23" s="158">
        <f t="shared" si="1"/>
        <v>0</v>
      </c>
    </row>
    <row r="24" spans="2:12" ht="15" customHeight="1" x14ac:dyDescent="0.2">
      <c r="B24" s="151">
        <f>'Renewables Report'!A55</f>
        <v>0</v>
      </c>
      <c r="C24" s="152">
        <f>'Renewables Report'!B55</f>
        <v>0</v>
      </c>
      <c r="D24" s="153">
        <f>SUM('Renewables Report'!E55)</f>
        <v>0</v>
      </c>
      <c r="E24" s="133"/>
      <c r="F24" s="158" t="str">
        <f t="shared" si="2"/>
        <v/>
      </c>
      <c r="G24" s="263"/>
      <c r="H24" s="264"/>
      <c r="I24" s="265"/>
      <c r="J24" s="133"/>
      <c r="K24" s="158" t="str">
        <f t="shared" si="0"/>
        <v/>
      </c>
      <c r="L24" s="158">
        <f t="shared" si="1"/>
        <v>0</v>
      </c>
    </row>
    <row r="25" spans="2:12" ht="15" customHeight="1" x14ac:dyDescent="0.2">
      <c r="B25" s="151">
        <f>'Renewables Report'!A56</f>
        <v>0</v>
      </c>
      <c r="C25" s="152">
        <f>'Renewables Report'!B56</f>
        <v>0</v>
      </c>
      <c r="D25" s="153">
        <f>SUM('Renewables Report'!E56)</f>
        <v>0</v>
      </c>
      <c r="E25" s="133"/>
      <c r="F25" s="158" t="str">
        <f t="shared" si="2"/>
        <v/>
      </c>
      <c r="G25" s="263"/>
      <c r="H25" s="264"/>
      <c r="I25" s="265"/>
      <c r="J25" s="133"/>
      <c r="K25" s="158" t="str">
        <f t="shared" si="0"/>
        <v/>
      </c>
      <c r="L25" s="158">
        <f t="shared" si="1"/>
        <v>0</v>
      </c>
    </row>
    <row r="26" spans="2:12" ht="15" customHeight="1" x14ac:dyDescent="0.2">
      <c r="B26" s="151">
        <f>'Renewables Report'!A57</f>
        <v>0</v>
      </c>
      <c r="C26" s="152">
        <f>'Renewables Report'!B57</f>
        <v>0</v>
      </c>
      <c r="D26" s="153">
        <f>SUM('Renewables Report'!E57)</f>
        <v>0</v>
      </c>
      <c r="E26" s="133"/>
      <c r="F26" s="158" t="str">
        <f t="shared" si="2"/>
        <v/>
      </c>
      <c r="G26" s="263"/>
      <c r="H26" s="264"/>
      <c r="I26" s="265"/>
      <c r="J26" s="133"/>
      <c r="K26" s="158" t="str">
        <f t="shared" si="0"/>
        <v/>
      </c>
      <c r="L26" s="158">
        <f t="shared" si="1"/>
        <v>0</v>
      </c>
    </row>
    <row r="27" spans="2:12" ht="15" customHeight="1" x14ac:dyDescent="0.2">
      <c r="B27" s="151">
        <f>'Renewables Report'!A58</f>
        <v>0</v>
      </c>
      <c r="C27" s="152">
        <f>'Renewables Report'!B58</f>
        <v>0</v>
      </c>
      <c r="D27" s="153">
        <f>SUM('Renewables Report'!E58)</f>
        <v>0</v>
      </c>
      <c r="E27" s="133"/>
      <c r="F27" s="158" t="str">
        <f t="shared" si="2"/>
        <v/>
      </c>
      <c r="G27" s="263"/>
      <c r="H27" s="264"/>
      <c r="I27" s="265"/>
      <c r="J27" s="133"/>
      <c r="K27" s="158" t="str">
        <f t="shared" si="0"/>
        <v/>
      </c>
      <c r="L27" s="158">
        <f t="shared" si="1"/>
        <v>0</v>
      </c>
    </row>
    <row r="28" spans="2:12" ht="15" customHeight="1" x14ac:dyDescent="0.2">
      <c r="B28" s="154">
        <f>'Renewables Report'!A59</f>
        <v>0</v>
      </c>
      <c r="C28" s="155">
        <f>'Renewables Report'!B59</f>
        <v>0</v>
      </c>
      <c r="D28" s="156">
        <f>SUM('Renewables Report'!E59)</f>
        <v>0</v>
      </c>
      <c r="E28" s="134"/>
      <c r="F28" s="159" t="str">
        <f t="shared" si="2"/>
        <v/>
      </c>
      <c r="G28" s="257"/>
      <c r="H28" s="258"/>
      <c r="I28" s="259"/>
      <c r="J28" s="134"/>
      <c r="K28" s="159" t="str">
        <f t="shared" si="0"/>
        <v/>
      </c>
      <c r="L28" s="159">
        <f t="shared" si="1"/>
        <v>0</v>
      </c>
    </row>
    <row r="29" spans="2:12" ht="15" customHeight="1" x14ac:dyDescent="0.2">
      <c r="B29" s="203" t="s">
        <v>98</v>
      </c>
      <c r="C29" s="203"/>
      <c r="D29" s="204">
        <v>331983</v>
      </c>
      <c r="E29" s="228"/>
      <c r="F29" s="205"/>
      <c r="G29" s="205"/>
      <c r="H29" s="205"/>
      <c r="I29" s="205"/>
      <c r="J29" s="205">
        <f>SUM(J9:J28)</f>
        <v>0</v>
      </c>
      <c r="K29" s="206"/>
      <c r="L29" s="228"/>
    </row>
    <row r="30" spans="2:12" ht="15" customHeight="1" x14ac:dyDescent="0.2">
      <c r="E30" s="70"/>
      <c r="F30" s="70"/>
      <c r="G30" s="70"/>
      <c r="H30" s="70"/>
      <c r="I30" s="70"/>
      <c r="J30" s="70"/>
      <c r="K30" s="70"/>
      <c r="L30" s="70"/>
    </row>
    <row r="31" spans="2:12" ht="17.25" customHeight="1" x14ac:dyDescent="0.25">
      <c r="B31" s="125" t="s">
        <v>102</v>
      </c>
      <c r="C31" s="135"/>
      <c r="D31" s="126"/>
      <c r="E31" s="77" t="s">
        <v>4</v>
      </c>
      <c r="F31" s="295" t="str">
        <f>F5</f>
        <v>Pacific Power &amp; Light Company</v>
      </c>
      <c r="G31" s="296"/>
      <c r="H31" s="297"/>
    </row>
    <row r="32" spans="2:12" ht="15" customHeight="1" x14ac:dyDescent="0.2">
      <c r="B32" s="135"/>
      <c r="C32" s="135"/>
      <c r="E32" s="77" t="s">
        <v>13</v>
      </c>
      <c r="F32" s="298">
        <v>2016</v>
      </c>
      <c r="G32" s="299"/>
      <c r="H32" s="300"/>
    </row>
    <row r="33" spans="2:12" ht="15" customHeight="1" x14ac:dyDescent="0.2">
      <c r="B33" s="77"/>
      <c r="C33" s="77"/>
      <c r="D33" s="77"/>
      <c r="E33" s="123"/>
      <c r="H33" s="136"/>
      <c r="I33" s="70"/>
    </row>
    <row r="34" spans="2:12" s="138" customFormat="1" x14ac:dyDescent="0.2">
      <c r="B34" s="77"/>
      <c r="C34" s="77"/>
      <c r="D34" s="77"/>
      <c r="E34" s="137"/>
      <c r="F34" s="137"/>
      <c r="G34" s="137"/>
      <c r="I34" s="137"/>
      <c r="J34" s="137"/>
      <c r="K34" s="137"/>
      <c r="L34" s="137"/>
    </row>
    <row r="35" spans="2:12" ht="38.25" x14ac:dyDescent="0.2">
      <c r="B35" s="128" t="s">
        <v>19</v>
      </c>
      <c r="C35" s="139" t="s">
        <v>31</v>
      </c>
      <c r="D35" s="140" t="s">
        <v>129</v>
      </c>
      <c r="E35" s="140" t="s">
        <v>107</v>
      </c>
      <c r="F35" s="131" t="s">
        <v>108</v>
      </c>
      <c r="G35" s="131" t="s">
        <v>109</v>
      </c>
      <c r="H35" s="290" t="s">
        <v>38</v>
      </c>
      <c r="I35" s="291"/>
      <c r="J35" s="291"/>
      <c r="K35" s="291"/>
      <c r="L35" s="292"/>
    </row>
    <row r="36" spans="2:12" ht="15" customHeight="1" x14ac:dyDescent="0.2">
      <c r="B36" s="177" t="str">
        <f>'Renewables Report'!A66</f>
        <v>Hidden Hollow</v>
      </c>
      <c r="C36" s="160" t="str">
        <f>'Renewables Report'!B66</f>
        <v>W1634</v>
      </c>
      <c r="D36" s="160">
        <f>'Renewables Report'!C66</f>
        <v>2015</v>
      </c>
      <c r="E36" s="179">
        <f>'Renewables Report'!G66</f>
        <v>0</v>
      </c>
      <c r="F36" s="222"/>
      <c r="G36" s="223"/>
      <c r="H36" s="141"/>
      <c r="I36" s="70"/>
      <c r="J36" s="70"/>
      <c r="K36" s="70"/>
      <c r="L36" s="142"/>
    </row>
    <row r="37" spans="2:12" ht="15" customHeight="1" x14ac:dyDescent="0.2">
      <c r="B37" s="178" t="str">
        <f>'Renewables Report'!A67</f>
        <v>Lower Snake – Phalen Gulch Wind</v>
      </c>
      <c r="C37" s="162" t="str">
        <f>'Renewables Report'!B67</f>
        <v>W2670</v>
      </c>
      <c r="D37" s="162">
        <f>'Renewables Report'!C67</f>
        <v>2015</v>
      </c>
      <c r="E37" s="180">
        <f>'Renewables Report'!G67</f>
        <v>0</v>
      </c>
      <c r="F37" s="224"/>
      <c r="G37" s="225"/>
      <c r="H37" s="141"/>
      <c r="I37" s="70"/>
      <c r="J37" s="70"/>
      <c r="K37" s="70"/>
      <c r="L37" s="142"/>
    </row>
    <row r="38" spans="2:12" ht="15" customHeight="1" x14ac:dyDescent="0.2">
      <c r="B38" s="178" t="str">
        <f>'Renewables Report'!A68</f>
        <v>Fighting Creek</v>
      </c>
      <c r="C38" s="162" t="str">
        <f>'Renewables Report'!B68</f>
        <v>W2659</v>
      </c>
      <c r="D38" s="162">
        <f>'Renewables Report'!C68</f>
        <v>2015</v>
      </c>
      <c r="E38" s="180">
        <f>'Renewables Report'!G68</f>
        <v>0</v>
      </c>
      <c r="F38" s="226"/>
      <c r="G38" s="225"/>
      <c r="H38" s="141"/>
      <c r="I38" s="70"/>
      <c r="J38" s="70"/>
      <c r="K38" s="70"/>
      <c r="L38" s="142"/>
    </row>
    <row r="39" spans="2:12" ht="15" customHeight="1" x14ac:dyDescent="0.2">
      <c r="B39" s="178" t="str">
        <f>'Renewables Report'!A69</f>
        <v>Elkhorn Valley Wind Farm</v>
      </c>
      <c r="C39" s="162" t="str">
        <f>'Renewables Report'!B69</f>
        <v>W186</v>
      </c>
      <c r="D39" s="162">
        <f>'Renewables Report'!C69</f>
        <v>2015</v>
      </c>
      <c r="E39" s="180">
        <f>'Renewables Report'!G69</f>
        <v>0</v>
      </c>
      <c r="F39" s="227"/>
      <c r="G39" s="225"/>
      <c r="H39" s="141"/>
      <c r="I39" s="70"/>
      <c r="J39" s="70"/>
      <c r="K39" s="70"/>
      <c r="L39" s="142"/>
    </row>
    <row r="40" spans="2:12" ht="15" customHeight="1" x14ac:dyDescent="0.2">
      <c r="B40" s="178" t="str">
        <f>'Renewables Report'!A70</f>
        <v>Nine Canyon Wind Project</v>
      </c>
      <c r="C40" s="162" t="str">
        <f>'Renewables Report'!B70</f>
        <v>W684</v>
      </c>
      <c r="D40" s="162">
        <f>'Renewables Report'!C70</f>
        <v>2015</v>
      </c>
      <c r="E40" s="180">
        <f>'Renewables Report'!G70</f>
        <v>0</v>
      </c>
      <c r="F40" s="226"/>
      <c r="G40" s="225"/>
      <c r="H40" s="141"/>
      <c r="I40" s="70"/>
      <c r="J40" s="70"/>
      <c r="K40" s="70"/>
      <c r="L40" s="142"/>
    </row>
    <row r="41" spans="2:12" ht="15" customHeight="1" x14ac:dyDescent="0.2">
      <c r="B41" s="178" t="str">
        <f>'Renewables Report'!A71</f>
        <v>Bennett Creek Windfarm</v>
      </c>
      <c r="C41" s="162" t="str">
        <f>'Renewables Report'!B71</f>
        <v>W542</v>
      </c>
      <c r="D41" s="162">
        <f>'Renewables Report'!C71</f>
        <v>2015</v>
      </c>
      <c r="E41" s="180">
        <f>'Renewables Report'!G71</f>
        <v>0</v>
      </c>
      <c r="F41" s="224"/>
      <c r="G41" s="225"/>
      <c r="H41" s="141"/>
      <c r="I41" s="70"/>
      <c r="J41" s="70"/>
      <c r="K41" s="70"/>
      <c r="L41" s="142"/>
    </row>
    <row r="42" spans="2:12" ht="15" customHeight="1" x14ac:dyDescent="0.2">
      <c r="B42" s="178" t="str">
        <f>'Renewables Report'!A72</f>
        <v>Hot Springs Wind Farm</v>
      </c>
      <c r="C42" s="162" t="str">
        <f>'Renewables Report'!B72</f>
        <v>W543</v>
      </c>
      <c r="D42" s="162">
        <f>'Renewables Report'!C72</f>
        <v>2015</v>
      </c>
      <c r="E42" s="180">
        <f>'Renewables Report'!G72</f>
        <v>0</v>
      </c>
      <c r="F42" s="226"/>
      <c r="G42" s="225"/>
      <c r="H42" s="141"/>
      <c r="I42" s="70"/>
      <c r="J42" s="70"/>
      <c r="K42" s="70"/>
      <c r="L42" s="142"/>
    </row>
    <row r="43" spans="2:12" ht="15" customHeight="1" x14ac:dyDescent="0.2">
      <c r="B43" s="161">
        <f>'Renewables Report'!A73</f>
        <v>0</v>
      </c>
      <c r="C43" s="162">
        <f>'Renewables Report'!B73</f>
        <v>0</v>
      </c>
      <c r="D43" s="163">
        <f>'Renewables Report'!C73</f>
        <v>0</v>
      </c>
      <c r="E43" s="153">
        <f>'Renewables Report'!G73</f>
        <v>0</v>
      </c>
      <c r="F43" s="146"/>
      <c r="G43" s="168" t="str">
        <f t="shared" ref="G43:G60" si="3">IF(E43&gt;0,F43/E43,"")</f>
        <v/>
      </c>
      <c r="H43" s="141"/>
      <c r="I43" s="70"/>
      <c r="J43" s="70"/>
      <c r="K43" s="70"/>
      <c r="L43" s="142"/>
    </row>
    <row r="44" spans="2:12" ht="15" customHeight="1" x14ac:dyDescent="0.2">
      <c r="B44" s="161"/>
      <c r="C44" s="162">
        <f>'Renewables Report'!B74</f>
        <v>0</v>
      </c>
      <c r="D44" s="163">
        <f>'Renewables Report'!C74</f>
        <v>0</v>
      </c>
      <c r="E44" s="153"/>
      <c r="F44" s="146"/>
      <c r="G44" s="168" t="str">
        <f t="shared" si="3"/>
        <v/>
      </c>
      <c r="H44" s="141"/>
      <c r="I44" s="70"/>
      <c r="J44" s="70"/>
      <c r="K44" s="70"/>
      <c r="L44" s="142"/>
    </row>
    <row r="45" spans="2:12" ht="15" customHeight="1" x14ac:dyDescent="0.2">
      <c r="B45" s="161">
        <f>'Renewables Report'!A75</f>
        <v>0</v>
      </c>
      <c r="C45" s="162">
        <f>'Renewables Report'!B75</f>
        <v>0</v>
      </c>
      <c r="D45" s="163">
        <f>'Renewables Report'!C75</f>
        <v>0</v>
      </c>
      <c r="E45" s="153">
        <f>'Renewables Report'!G75</f>
        <v>0</v>
      </c>
      <c r="F45" s="146"/>
      <c r="G45" s="168" t="str">
        <f t="shared" si="3"/>
        <v/>
      </c>
      <c r="H45" s="141"/>
      <c r="I45" s="70"/>
      <c r="J45" s="70"/>
      <c r="K45" s="70"/>
      <c r="L45" s="142"/>
    </row>
    <row r="46" spans="2:12" ht="15" customHeight="1" x14ac:dyDescent="0.2">
      <c r="B46" s="161">
        <f>'Renewables Report'!A76</f>
        <v>0</v>
      </c>
      <c r="C46" s="162">
        <f>'Renewables Report'!B76</f>
        <v>0</v>
      </c>
      <c r="D46" s="163">
        <f>'Renewables Report'!C76</f>
        <v>0</v>
      </c>
      <c r="E46" s="153">
        <f>'Renewables Report'!G76</f>
        <v>0</v>
      </c>
      <c r="F46" s="146"/>
      <c r="G46" s="168" t="str">
        <f t="shared" si="3"/>
        <v/>
      </c>
      <c r="H46" s="141"/>
      <c r="I46" s="70"/>
      <c r="J46" s="70"/>
      <c r="K46" s="70"/>
      <c r="L46" s="142"/>
    </row>
    <row r="47" spans="2:12" ht="15" customHeight="1" x14ac:dyDescent="0.2">
      <c r="B47" s="161">
        <f>'Renewables Report'!A77</f>
        <v>0</v>
      </c>
      <c r="C47" s="162">
        <f>'Renewables Report'!B77</f>
        <v>0</v>
      </c>
      <c r="D47" s="163">
        <f>'Renewables Report'!C77</f>
        <v>0</v>
      </c>
      <c r="E47" s="153">
        <f>'Renewables Report'!G77</f>
        <v>0</v>
      </c>
      <c r="F47" s="146"/>
      <c r="G47" s="168" t="str">
        <f t="shared" si="3"/>
        <v/>
      </c>
      <c r="H47" s="141"/>
      <c r="I47" s="70"/>
      <c r="J47" s="70"/>
      <c r="K47" s="70"/>
      <c r="L47" s="142"/>
    </row>
    <row r="48" spans="2:12" ht="15" customHeight="1" x14ac:dyDescent="0.2">
      <c r="B48" s="161">
        <f>'Renewables Report'!A78</f>
        <v>0</v>
      </c>
      <c r="C48" s="162">
        <f>'Renewables Report'!B78</f>
        <v>0</v>
      </c>
      <c r="D48" s="163">
        <f>'Renewables Report'!C78</f>
        <v>0</v>
      </c>
      <c r="E48" s="153">
        <f>'Renewables Report'!G78</f>
        <v>0</v>
      </c>
      <c r="F48" s="146"/>
      <c r="G48" s="168" t="str">
        <f t="shared" si="3"/>
        <v/>
      </c>
      <c r="H48" s="141"/>
      <c r="I48" s="70"/>
      <c r="J48" s="70"/>
      <c r="K48" s="70"/>
      <c r="L48" s="142"/>
    </row>
    <row r="49" spans="2:12" ht="15" customHeight="1" x14ac:dyDescent="0.2">
      <c r="B49" s="161">
        <f>'Renewables Report'!A79</f>
        <v>0</v>
      </c>
      <c r="C49" s="162">
        <f>'Renewables Report'!B79</f>
        <v>0</v>
      </c>
      <c r="D49" s="163">
        <f>'Renewables Report'!C79</f>
        <v>0</v>
      </c>
      <c r="E49" s="153">
        <f>'Renewables Report'!G79</f>
        <v>0</v>
      </c>
      <c r="F49" s="146"/>
      <c r="G49" s="168" t="str">
        <f t="shared" si="3"/>
        <v/>
      </c>
      <c r="H49" s="141"/>
      <c r="I49" s="70"/>
      <c r="J49" s="70"/>
      <c r="K49" s="70"/>
      <c r="L49" s="142"/>
    </row>
    <row r="50" spans="2:12" ht="15" customHeight="1" x14ac:dyDescent="0.2">
      <c r="B50" s="161">
        <f>'Renewables Report'!A80</f>
        <v>0</v>
      </c>
      <c r="C50" s="162">
        <f>'Renewables Report'!B80</f>
        <v>0</v>
      </c>
      <c r="D50" s="163">
        <f>'Renewables Report'!C80</f>
        <v>0</v>
      </c>
      <c r="E50" s="153">
        <f>'Renewables Report'!G80</f>
        <v>0</v>
      </c>
      <c r="F50" s="146"/>
      <c r="G50" s="168" t="str">
        <f t="shared" si="3"/>
        <v/>
      </c>
      <c r="H50" s="141"/>
      <c r="I50" s="70"/>
      <c r="J50" s="70"/>
      <c r="K50" s="70"/>
      <c r="L50" s="142"/>
    </row>
    <row r="51" spans="2:12" ht="15" customHeight="1" x14ac:dyDescent="0.2">
      <c r="B51" s="161">
        <f>'Renewables Report'!A81</f>
        <v>0</v>
      </c>
      <c r="C51" s="162">
        <f>'Renewables Report'!B81</f>
        <v>0</v>
      </c>
      <c r="D51" s="163">
        <f>'Renewables Report'!C81</f>
        <v>0</v>
      </c>
      <c r="E51" s="153">
        <f>'Renewables Report'!G81</f>
        <v>0</v>
      </c>
      <c r="F51" s="146"/>
      <c r="G51" s="168" t="str">
        <f t="shared" si="3"/>
        <v/>
      </c>
      <c r="H51" s="141"/>
      <c r="I51" s="70"/>
      <c r="J51" s="70"/>
      <c r="K51" s="70"/>
      <c r="L51" s="142"/>
    </row>
    <row r="52" spans="2:12" ht="15" customHeight="1" x14ac:dyDescent="0.2">
      <c r="B52" s="161">
        <f>'Renewables Report'!A82</f>
        <v>0</v>
      </c>
      <c r="C52" s="162">
        <f>'Renewables Report'!B82</f>
        <v>0</v>
      </c>
      <c r="D52" s="163">
        <f>'Renewables Report'!C82</f>
        <v>0</v>
      </c>
      <c r="E52" s="153">
        <f>'Renewables Report'!G82</f>
        <v>0</v>
      </c>
      <c r="F52" s="146"/>
      <c r="G52" s="168" t="str">
        <f t="shared" si="3"/>
        <v/>
      </c>
      <c r="H52" s="141"/>
      <c r="I52" s="70"/>
      <c r="J52" s="70"/>
      <c r="K52" s="70"/>
      <c r="L52" s="142"/>
    </row>
    <row r="53" spans="2:12" ht="15" customHeight="1" x14ac:dyDescent="0.2">
      <c r="B53" s="161">
        <f>'Renewables Report'!A83</f>
        <v>0</v>
      </c>
      <c r="C53" s="162">
        <f>'Renewables Report'!B83</f>
        <v>0</v>
      </c>
      <c r="D53" s="163">
        <f>'Renewables Report'!C83</f>
        <v>0</v>
      </c>
      <c r="E53" s="153">
        <f>'Renewables Report'!G83</f>
        <v>0</v>
      </c>
      <c r="F53" s="146"/>
      <c r="G53" s="168" t="str">
        <f t="shared" si="3"/>
        <v/>
      </c>
      <c r="H53" s="141"/>
      <c r="I53" s="70"/>
      <c r="J53" s="70"/>
      <c r="K53" s="70"/>
      <c r="L53" s="142"/>
    </row>
    <row r="54" spans="2:12" ht="15" customHeight="1" x14ac:dyDescent="0.2">
      <c r="B54" s="161">
        <f>'Renewables Report'!A84</f>
        <v>0</v>
      </c>
      <c r="C54" s="162">
        <f>'Renewables Report'!B84</f>
        <v>0</v>
      </c>
      <c r="D54" s="163">
        <f>'Renewables Report'!C84</f>
        <v>0</v>
      </c>
      <c r="E54" s="153">
        <f>'Renewables Report'!G84</f>
        <v>0</v>
      </c>
      <c r="F54" s="146"/>
      <c r="G54" s="168" t="str">
        <f t="shared" si="3"/>
        <v/>
      </c>
      <c r="H54" s="141"/>
      <c r="I54" s="70"/>
      <c r="J54" s="70"/>
      <c r="K54" s="70"/>
      <c r="L54" s="142"/>
    </row>
    <row r="55" spans="2:12" ht="15" customHeight="1" x14ac:dyDescent="0.2">
      <c r="B55" s="161">
        <f>'Renewables Report'!A85</f>
        <v>0</v>
      </c>
      <c r="C55" s="162">
        <f>'Renewables Report'!B85</f>
        <v>0</v>
      </c>
      <c r="D55" s="163">
        <f>'Renewables Report'!C85</f>
        <v>0</v>
      </c>
      <c r="E55" s="153">
        <f>'Renewables Report'!G85</f>
        <v>0</v>
      </c>
      <c r="F55" s="146"/>
      <c r="G55" s="168" t="str">
        <f t="shared" si="3"/>
        <v/>
      </c>
      <c r="H55" s="141"/>
      <c r="I55" s="70"/>
      <c r="J55" s="70"/>
      <c r="K55" s="70"/>
      <c r="L55" s="142"/>
    </row>
    <row r="56" spans="2:12" ht="15" customHeight="1" x14ac:dyDescent="0.2">
      <c r="B56" s="161">
        <f>'Renewables Report'!A86</f>
        <v>0</v>
      </c>
      <c r="C56" s="162">
        <f>'Renewables Report'!B86</f>
        <v>0</v>
      </c>
      <c r="D56" s="163">
        <f>'Renewables Report'!C86</f>
        <v>0</v>
      </c>
      <c r="E56" s="153">
        <f>'Renewables Report'!G86</f>
        <v>0</v>
      </c>
      <c r="F56" s="146"/>
      <c r="G56" s="168" t="str">
        <f t="shared" si="3"/>
        <v/>
      </c>
      <c r="H56" s="141"/>
      <c r="I56" s="70"/>
      <c r="J56" s="70"/>
      <c r="K56" s="70"/>
      <c r="L56" s="142"/>
    </row>
    <row r="57" spans="2:12" ht="15" customHeight="1" x14ac:dyDescent="0.2">
      <c r="B57" s="161">
        <f>'Renewables Report'!A87</f>
        <v>0</v>
      </c>
      <c r="C57" s="162">
        <f>'Renewables Report'!B87</f>
        <v>0</v>
      </c>
      <c r="D57" s="163">
        <f>'Renewables Report'!C87</f>
        <v>0</v>
      </c>
      <c r="E57" s="153">
        <f>'Renewables Report'!G87</f>
        <v>0</v>
      </c>
      <c r="F57" s="146"/>
      <c r="G57" s="168" t="str">
        <f t="shared" si="3"/>
        <v/>
      </c>
      <c r="H57" s="141"/>
      <c r="I57" s="70"/>
      <c r="J57" s="70"/>
      <c r="K57" s="70"/>
      <c r="L57" s="142"/>
    </row>
    <row r="58" spans="2:12" ht="15" customHeight="1" x14ac:dyDescent="0.2">
      <c r="B58" s="161">
        <f>'Renewables Report'!A88</f>
        <v>0</v>
      </c>
      <c r="C58" s="162">
        <f>'Renewables Report'!B88</f>
        <v>0</v>
      </c>
      <c r="D58" s="163">
        <f>'Renewables Report'!C88</f>
        <v>0</v>
      </c>
      <c r="E58" s="153">
        <f>'Renewables Report'!G88</f>
        <v>0</v>
      </c>
      <c r="F58" s="146"/>
      <c r="G58" s="168" t="str">
        <f t="shared" si="3"/>
        <v/>
      </c>
      <c r="H58" s="141"/>
      <c r="I58" s="70"/>
      <c r="J58" s="70"/>
      <c r="K58" s="70"/>
      <c r="L58" s="142"/>
    </row>
    <row r="59" spans="2:12" ht="15" customHeight="1" x14ac:dyDescent="0.2">
      <c r="B59" s="161">
        <f>'Renewables Report'!A89</f>
        <v>0</v>
      </c>
      <c r="C59" s="162">
        <f>'Renewables Report'!B89</f>
        <v>0</v>
      </c>
      <c r="D59" s="163">
        <f>'Renewables Report'!C89</f>
        <v>0</v>
      </c>
      <c r="E59" s="153">
        <f>'Renewables Report'!G89</f>
        <v>0</v>
      </c>
      <c r="F59" s="146"/>
      <c r="G59" s="168" t="str">
        <f t="shared" si="3"/>
        <v/>
      </c>
      <c r="H59" s="141"/>
      <c r="I59" s="70"/>
      <c r="J59" s="70"/>
      <c r="K59" s="70"/>
      <c r="L59" s="142"/>
    </row>
    <row r="60" spans="2:12" ht="15" customHeight="1" x14ac:dyDescent="0.2">
      <c r="B60" s="164">
        <f>'Renewables Report'!A90</f>
        <v>0</v>
      </c>
      <c r="C60" s="165">
        <f>'Renewables Report'!B90</f>
        <v>0</v>
      </c>
      <c r="D60" s="166">
        <f>'Renewables Report'!C90</f>
        <v>0</v>
      </c>
      <c r="E60" s="167">
        <f>'Renewables Report'!G90</f>
        <v>0</v>
      </c>
      <c r="F60" s="147"/>
      <c r="G60" s="169" t="str">
        <f t="shared" si="3"/>
        <v/>
      </c>
      <c r="H60" s="141"/>
      <c r="I60" s="70"/>
      <c r="J60" s="70"/>
      <c r="K60" s="70"/>
      <c r="L60" s="142"/>
    </row>
    <row r="61" spans="2:12" ht="15" customHeight="1" x14ac:dyDescent="0.2">
      <c r="B61" s="203" t="s">
        <v>6</v>
      </c>
      <c r="C61" s="207"/>
      <c r="D61" s="207"/>
      <c r="E61" s="234">
        <v>38183</v>
      </c>
      <c r="F61" s="228"/>
      <c r="G61" s="208"/>
      <c r="H61" s="143"/>
      <c r="I61" s="144"/>
      <c r="J61" s="144"/>
      <c r="K61" s="144"/>
      <c r="L61" s="145"/>
    </row>
  </sheetData>
  <mergeCells count="28">
    <mergeCell ref="G18:I18"/>
    <mergeCell ref="G19:I19"/>
    <mergeCell ref="G20:I20"/>
    <mergeCell ref="G14:I14"/>
    <mergeCell ref="G15:I15"/>
    <mergeCell ref="G16:I16"/>
    <mergeCell ref="G17:I17"/>
    <mergeCell ref="G9:I9"/>
    <mergeCell ref="G10:I10"/>
    <mergeCell ref="G11:I11"/>
    <mergeCell ref="G12:I12"/>
    <mergeCell ref="G13:I13"/>
    <mergeCell ref="H35:L35"/>
    <mergeCell ref="B1:L1"/>
    <mergeCell ref="B2:L2"/>
    <mergeCell ref="G21:I21"/>
    <mergeCell ref="F31:H31"/>
    <mergeCell ref="F32:H32"/>
    <mergeCell ref="F5:H5"/>
    <mergeCell ref="F6:H6"/>
    <mergeCell ref="G22:I22"/>
    <mergeCell ref="G23:I23"/>
    <mergeCell ref="G24:I24"/>
    <mergeCell ref="G25:I25"/>
    <mergeCell ref="G26:I26"/>
    <mergeCell ref="G27:I27"/>
    <mergeCell ref="G28:I28"/>
    <mergeCell ref="G8:I8"/>
  </mergeCells>
  <pageMargins left="0.7" right="0.7" top="0.75" bottom="0.75" header="0.3" footer="0.3"/>
  <pageSetup scale="79" fitToHeight="0" orientation="landscape" r:id="rId1"/>
  <rowBreaks count="1" manualBreakCount="1">
    <brk id="29" max="16383" man="1"/>
  </rowBreaks>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H15"/>
  <sheetViews>
    <sheetView workbookViewId="0"/>
  </sheetViews>
  <sheetFormatPr defaultRowHeight="15" x14ac:dyDescent="0.25"/>
  <cols>
    <col min="1" max="1" width="36.140625" bestFit="1" customWidth="1"/>
    <col min="3" max="3" width="36.140625" bestFit="1" customWidth="1"/>
    <col min="12" max="12" width="10.5703125" customWidth="1"/>
  </cols>
  <sheetData>
    <row r="1" spans="1:86" x14ac:dyDescent="0.25">
      <c r="A1" t="s">
        <v>196</v>
      </c>
      <c r="B1" t="s">
        <v>75</v>
      </c>
      <c r="C1" t="s">
        <v>76</v>
      </c>
      <c r="D1" t="s">
        <v>77</v>
      </c>
      <c r="E1" t="s">
        <v>78</v>
      </c>
      <c r="F1" t="s">
        <v>79</v>
      </c>
      <c r="G1" t="s">
        <v>80</v>
      </c>
      <c r="H1" t="s">
        <v>81</v>
      </c>
      <c r="I1" t="s">
        <v>82</v>
      </c>
      <c r="J1" t="s">
        <v>83</v>
      </c>
      <c r="K1" t="s">
        <v>84</v>
      </c>
      <c r="L1" t="s">
        <v>103</v>
      </c>
      <c r="M1" t="s">
        <v>104</v>
      </c>
      <c r="N1" t="s">
        <v>85</v>
      </c>
      <c r="O1" t="s">
        <v>86</v>
      </c>
      <c r="P1" t="s">
        <v>87</v>
      </c>
      <c r="Q1" t="s">
        <v>88</v>
      </c>
      <c r="R1" t="s">
        <v>89</v>
      </c>
      <c r="S1" t="s">
        <v>90</v>
      </c>
      <c r="T1" t="s">
        <v>91</v>
      </c>
      <c r="U1" t="s">
        <v>92</v>
      </c>
      <c r="V1" t="s">
        <v>93</v>
      </c>
      <c r="W1" t="s">
        <v>94</v>
      </c>
      <c r="X1" t="s">
        <v>162</v>
      </c>
      <c r="Y1" t="s">
        <v>163</v>
      </c>
      <c r="Z1" t="s">
        <v>153</v>
      </c>
      <c r="AA1" t="s">
        <v>142</v>
      </c>
      <c r="AB1" t="s">
        <v>164</v>
      </c>
      <c r="AC1" t="s">
        <v>165</v>
      </c>
      <c r="AD1" t="s">
        <v>166</v>
      </c>
      <c r="AE1" t="s">
        <v>167</v>
      </c>
      <c r="AF1" t="s">
        <v>143</v>
      </c>
      <c r="AG1" t="s">
        <v>168</v>
      </c>
      <c r="AH1" t="s">
        <v>169</v>
      </c>
      <c r="AI1" t="s">
        <v>170</v>
      </c>
      <c r="AJ1" t="s">
        <v>154</v>
      </c>
      <c r="AK1" t="s">
        <v>155</v>
      </c>
      <c r="AL1" t="s">
        <v>156</v>
      </c>
      <c r="AM1" t="s">
        <v>157</v>
      </c>
      <c r="AN1" t="s">
        <v>158</v>
      </c>
      <c r="AO1" t="s">
        <v>159</v>
      </c>
      <c r="AP1" t="s">
        <v>160</v>
      </c>
      <c r="AQ1" t="s">
        <v>161</v>
      </c>
      <c r="AR1" t="s">
        <v>171</v>
      </c>
      <c r="AS1" t="s">
        <v>144</v>
      </c>
      <c r="AT1" t="s">
        <v>42</v>
      </c>
      <c r="AU1" t="s">
        <v>43</v>
      </c>
      <c r="AV1" t="s">
        <v>44</v>
      </c>
      <c r="AW1" t="s">
        <v>145</v>
      </c>
      <c r="AX1" t="s">
        <v>146</v>
      </c>
      <c r="AY1" t="s">
        <v>45</v>
      </c>
      <c r="AZ1" t="s">
        <v>51</v>
      </c>
      <c r="BA1" t="s">
        <v>147</v>
      </c>
      <c r="BB1" t="s">
        <v>46</v>
      </c>
      <c r="BC1" t="s">
        <v>47</v>
      </c>
      <c r="BD1" t="s">
        <v>48</v>
      </c>
      <c r="BE1" t="s">
        <v>52</v>
      </c>
      <c r="BF1" t="s">
        <v>53</v>
      </c>
      <c r="BG1" t="s">
        <v>54</v>
      </c>
      <c r="BH1" t="s">
        <v>55</v>
      </c>
      <c r="BI1" t="s">
        <v>56</v>
      </c>
      <c r="BJ1" t="s">
        <v>188</v>
      </c>
      <c r="BK1" t="s">
        <v>57</v>
      </c>
      <c r="BL1" t="s">
        <v>58</v>
      </c>
      <c r="BM1" t="s">
        <v>59</v>
      </c>
      <c r="BN1" t="s">
        <v>60</v>
      </c>
      <c r="BO1" t="s">
        <v>61</v>
      </c>
      <c r="BP1" t="s">
        <v>148</v>
      </c>
      <c r="BQ1" t="s">
        <v>149</v>
      </c>
      <c r="BR1" t="s">
        <v>105</v>
      </c>
      <c r="BS1" t="s">
        <v>150</v>
      </c>
      <c r="BT1" t="s">
        <v>62</v>
      </c>
      <c r="BU1" t="s">
        <v>63</v>
      </c>
      <c r="BV1" t="s">
        <v>64</v>
      </c>
      <c r="BW1" t="s">
        <v>65</v>
      </c>
      <c r="BX1" t="s">
        <v>66</v>
      </c>
      <c r="BY1" t="s">
        <v>67</v>
      </c>
      <c r="BZ1" t="s">
        <v>187</v>
      </c>
      <c r="CA1" t="s">
        <v>68</v>
      </c>
      <c r="CB1" t="s">
        <v>69</v>
      </c>
      <c r="CC1" t="s">
        <v>70</v>
      </c>
      <c r="CD1" t="s">
        <v>71</v>
      </c>
      <c r="CE1" t="s">
        <v>151</v>
      </c>
      <c r="CF1" t="s">
        <v>49</v>
      </c>
      <c r="CG1" t="s">
        <v>152</v>
      </c>
      <c r="CH1" t="s">
        <v>50</v>
      </c>
    </row>
    <row r="2" spans="1:86" x14ac:dyDescent="0.25">
      <c r="A2" t="str">
        <f>REN_Utility_Name</f>
        <v>Pacific Power &amp; Light Company</v>
      </c>
      <c r="B2" t="e">
        <f>+CON_2014_Agriculture_Expend</f>
        <v>#REF!</v>
      </c>
      <c r="C2" t="e">
        <f>+CON_2014_Agriculture_MWH</f>
        <v>#REF!</v>
      </c>
      <c r="D2" t="e">
        <f>+CON_2014_Commercial_Expend</f>
        <v>#REF!</v>
      </c>
      <c r="E2" t="e">
        <f>+CON_2014_Commercial_MWH</f>
        <v>#REF!</v>
      </c>
      <c r="F2" t="e">
        <f>+CON_2014_Distribution_Expend</f>
        <v>#REF!</v>
      </c>
      <c r="G2" t="e">
        <f>+CON_2014_Distribution_MWH</f>
        <v>#REF!</v>
      </c>
      <c r="H2" t="e">
        <f>+CON_2014_Expenditures</f>
        <v>#REF!</v>
      </c>
      <c r="I2" t="e">
        <f>+CON_2014_Industrial_Expend</f>
        <v>#REF!</v>
      </c>
      <c r="J2" t="e">
        <f>+CON_2014_Industrial_MWH</f>
        <v>#REF!</v>
      </c>
      <c r="K2" t="e">
        <f>+CON_2014_MWH</f>
        <v>#REF!</v>
      </c>
      <c r="L2" t="e">
        <f>+CON_2014_NEEA_Expend</f>
        <v>#REF!</v>
      </c>
      <c r="M2" t="e">
        <f>+CON_2014_NEEA_MWH</f>
        <v>#REF!</v>
      </c>
      <c r="N2" t="e">
        <f>+CON_2014_OtherSector1_Expend</f>
        <v>#REF!</v>
      </c>
      <c r="O2" t="e">
        <f>+CON_2014_OtherSector1_MWH</f>
        <v>#REF!</v>
      </c>
      <c r="P2" t="e">
        <f>+CON_2014_OtherSector2_Expend</f>
        <v>#REF!</v>
      </c>
      <c r="Q2" t="e">
        <f>+CON_2014_OtherSector2_MWH</f>
        <v>#REF!</v>
      </c>
      <c r="R2" t="e">
        <f>+CON_2014_Production_Expend</f>
        <v>#REF!</v>
      </c>
      <c r="S2" t="e">
        <f>+CON_2014_Production_MWH</f>
        <v>#REF!</v>
      </c>
      <c r="T2" t="e">
        <f>+CON_2014_Program1_Expend</f>
        <v>#REF!</v>
      </c>
      <c r="U2" t="e">
        <f>+CON_2014_Program2_Expend</f>
        <v>#REF!</v>
      </c>
      <c r="V2" t="e">
        <f>+CON_2014_Residential_Expend</f>
        <v>#REF!</v>
      </c>
      <c r="W2" t="e">
        <f>+CON_2014_Residential_MWH</f>
        <v>#REF!</v>
      </c>
      <c r="X2" t="e">
        <f>+CON_2015_Agriculture_Expend</f>
        <v>#REF!</v>
      </c>
      <c r="Y2" t="e">
        <f>+CON_2015_Agriculture_MWH</f>
        <v>#REF!</v>
      </c>
      <c r="Z2" t="e">
        <f>+CON_2015_Commercial_Expend</f>
        <v>#REF!</v>
      </c>
      <c r="AA2" t="e">
        <f>+CON_2015_Commercial_MWH</f>
        <v>#REF!</v>
      </c>
      <c r="AB2" t="e">
        <f>+CON_2015_Distribution_Expend</f>
        <v>#REF!</v>
      </c>
      <c r="AC2" t="e">
        <f>+CON_2015_Distribution_MWH</f>
        <v>#REF!</v>
      </c>
      <c r="AD2" t="e">
        <f>+CON_2015_Expenditures</f>
        <v>#REF!</v>
      </c>
      <c r="AE2" t="e">
        <f>+CON_2015_Industrial_Expend</f>
        <v>#REF!</v>
      </c>
      <c r="AF2" t="e">
        <f>+CON_2015_Industrial_MWH</f>
        <v>#REF!</v>
      </c>
      <c r="AG2" t="e">
        <f>+CON_2015_MWH</f>
        <v>#REF!</v>
      </c>
      <c r="AH2" t="e">
        <f>+CON_2015_NEEA_Expend</f>
        <v>#REF!</v>
      </c>
      <c r="AI2" t="e">
        <f>+CON_2015_NEEA_MWH</f>
        <v>#REF!</v>
      </c>
      <c r="AJ2" t="e">
        <f>+CON_2015_OtherSector1_Expend</f>
        <v>#REF!</v>
      </c>
      <c r="AK2" t="e">
        <f>+CON_2015_OtherSector1_MWH</f>
        <v>#REF!</v>
      </c>
      <c r="AL2" t="e">
        <f>+CON_2015_OtherSector2_Expend</f>
        <v>#REF!</v>
      </c>
      <c r="AM2" t="e">
        <f>+CON_2015_OtherSector2_MWH</f>
        <v>#REF!</v>
      </c>
      <c r="AN2" t="e">
        <f>+CON_2015_Production_Expend</f>
        <v>#REF!</v>
      </c>
      <c r="AO2" t="e">
        <f>+CON_2015_Production_MWH</f>
        <v>#REF!</v>
      </c>
      <c r="AP2" t="e">
        <f>+CON_2015_Program1_Expend</f>
        <v>#REF!</v>
      </c>
      <c r="AQ2" t="e">
        <f>+CON_2015_Program2_Expend</f>
        <v>#REF!</v>
      </c>
      <c r="AR2" t="e">
        <f>+CON_2015_Residential_Expend</f>
        <v>#REF!</v>
      </c>
      <c r="AS2" t="e">
        <f>+CON_2015_Residential_MWH</f>
        <v>#REF!</v>
      </c>
      <c r="AT2" t="e">
        <f>+CON_Contact_Name</f>
        <v>#REF!</v>
      </c>
      <c r="AU2" t="e">
        <f>+CON_Email</f>
        <v>#REF!</v>
      </c>
      <c r="AV2" t="e">
        <f>+CON_Phone</f>
        <v>#REF!</v>
      </c>
      <c r="AW2" t="e">
        <f>+CON_Potential_2015_2023</f>
        <v>#REF!</v>
      </c>
      <c r="AX2" t="e">
        <f>+CON_Potential_2016_2025</f>
        <v>#REF!</v>
      </c>
      <c r="AY2" t="e">
        <f>+CON_Report_Date</f>
        <v>#REF!</v>
      </c>
      <c r="AZ2" t="e">
        <f>+CON_Target_2014_2015</f>
        <v>#REF!</v>
      </c>
      <c r="BA2" t="e">
        <f>+CON_Target_2016_2017</f>
        <v>#REF!</v>
      </c>
      <c r="BB2" t="e">
        <f>+CON_Utility_Name</f>
        <v>#REF!</v>
      </c>
      <c r="BC2" t="str">
        <f>+REN_Contact_Name</f>
        <v>Ariel Son</v>
      </c>
      <c r="BD2" t="str">
        <f>+REN_Email</f>
        <v>ariel.son@pacificorp.com</v>
      </c>
      <c r="BE2">
        <f>+REN_ERR_ApprenticeLabor</f>
        <v>0</v>
      </c>
      <c r="BF2">
        <f>+REN_ERR_Biodiesel</f>
        <v>0</v>
      </c>
      <c r="BG2">
        <f>+REN_ERR_Biomass</f>
        <v>0</v>
      </c>
      <c r="BH2" t="str">
        <f>+REN_ERR_Geothermal</f>
        <v xml:space="preserve">              -    </v>
      </c>
      <c r="BI2" t="str">
        <f>+REN_ERR_LandfillGas</f>
        <v xml:space="preserve">              -    </v>
      </c>
      <c r="BJ2">
        <f>REN_ERR_QBE</f>
        <v>0</v>
      </c>
      <c r="BK2">
        <f>+REN_ERR_SewageGas</f>
        <v>0</v>
      </c>
      <c r="BL2" t="str">
        <f>+REN_ERR_Solar</f>
        <v xml:space="preserve">              -    </v>
      </c>
      <c r="BM2">
        <f>+REN_ERR_Water</f>
        <v>1903</v>
      </c>
      <c r="BN2">
        <f>+REN_ERR_Wind</f>
        <v>330080</v>
      </c>
      <c r="BO2">
        <f>+REN_ERR_WOT</f>
        <v>0</v>
      </c>
      <c r="BP2">
        <f>+REN_Expenditure_Amount_2016</f>
        <v>2796923</v>
      </c>
      <c r="BQ2">
        <f>+REN_Expenditure_Percent_2016</f>
        <v>8.4456098666836916E-3</v>
      </c>
      <c r="BR2">
        <f>+REN_Load_2014</f>
        <v>4117646</v>
      </c>
      <c r="BS2">
        <f>+REN_Load_2015</f>
        <v>4108270</v>
      </c>
      <c r="BT2">
        <f>+REN_REC_ApprenticeLabor</f>
        <v>0</v>
      </c>
      <c r="BU2">
        <f>+REN_REC_Biodiesel</f>
        <v>0</v>
      </c>
      <c r="BV2">
        <f>+REN_REC_Biomass</f>
        <v>0</v>
      </c>
      <c r="BW2">
        <f>+REN_REC_DistributedGeneration</f>
        <v>0</v>
      </c>
      <c r="BX2" t="str">
        <f>+REN_REC_Geothermal</f>
        <v xml:space="preserve">              -    </v>
      </c>
      <c r="BY2">
        <f>+REN_REC_LandfillGas</f>
        <v>13231</v>
      </c>
      <c r="BZ2">
        <f>REN_REC_QBE</f>
        <v>0</v>
      </c>
      <c r="CA2">
        <f>+REN_REC_SewageGas</f>
        <v>0</v>
      </c>
      <c r="CB2" t="str">
        <f>+REN_REC_Solar</f>
        <v xml:space="preserve">              -    </v>
      </c>
      <c r="CC2">
        <f>+REN_REC_Wind</f>
        <v>24952</v>
      </c>
      <c r="CD2">
        <f>+REN_REC_WOT</f>
        <v>0</v>
      </c>
      <c r="CE2">
        <f>+REN_RetailRevenueRequirement_2016</f>
        <v>331168861</v>
      </c>
      <c r="CF2">
        <f>+REN_Submittal_Date</f>
        <v>42522</v>
      </c>
      <c r="CG2">
        <f>+REN_Total_2016</f>
        <v>370166</v>
      </c>
      <c r="CH2" t="str">
        <f>+REN_Utility_Name</f>
        <v>Pacific Power &amp; Light Company</v>
      </c>
    </row>
    <row r="6" spans="1:86" x14ac:dyDescent="0.25">
      <c r="A6" s="13" t="s">
        <v>14</v>
      </c>
    </row>
    <row r="7" spans="1:86" x14ac:dyDescent="0.25">
      <c r="A7" s="13" t="s">
        <v>15</v>
      </c>
    </row>
    <row r="8" spans="1:86" x14ac:dyDescent="0.25">
      <c r="A8" s="13" t="s">
        <v>173</v>
      </c>
    </row>
    <row r="9" spans="1:86" x14ac:dyDescent="0.25">
      <c r="A9" s="13" t="s">
        <v>176</v>
      </c>
    </row>
    <row r="10" spans="1:86" x14ac:dyDescent="0.25">
      <c r="A10" s="13" t="s">
        <v>177</v>
      </c>
    </row>
    <row r="11" spans="1:86" x14ac:dyDescent="0.25">
      <c r="A11" s="13" t="s">
        <v>174</v>
      </c>
    </row>
    <row r="12" spans="1:86" x14ac:dyDescent="0.25">
      <c r="A12" s="13" t="s">
        <v>16</v>
      </c>
    </row>
    <row r="13" spans="1:86" x14ac:dyDescent="0.25">
      <c r="A13" s="13" t="s">
        <v>23</v>
      </c>
    </row>
    <row r="14" spans="1:86" x14ac:dyDescent="0.25">
      <c r="A14" s="13" t="s">
        <v>17</v>
      </c>
    </row>
    <row r="15" spans="1:86" x14ac:dyDescent="0.25">
      <c r="A15" s="13" t="s">
        <v>172</v>
      </c>
    </row>
  </sheetData>
  <dataValidations count="1">
    <dataValidation type="list" allowBlank="1" showInputMessage="1" showErrorMessage="1" sqref="D8">
      <formula1>$A$6:$A$15</formula1>
    </dataValidation>
  </dataValidations>
  <pageMargins left="0.7" right="0.7" top="0.75" bottom="0.75" header="0.3" footer="0.3"/>
  <pageSetup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D92CC68C7D89D34691C2113CD0EC1234" ma:contentTypeVersion="1" ma:contentTypeDescription="Create a new document." ma:contentTypeScope="" ma:versionID="1232cac0a27544407118dd62e18a60c7">
  <xsd:schema xmlns:xsd="http://www.w3.org/2001/XMLSchema" xmlns:xs="http://www.w3.org/2001/XMLSchema" xmlns:p="http://schemas.microsoft.com/office/2006/metadata/properties" xmlns:ns1="http://schemas.microsoft.com/sharepoint/v3" targetNamespace="http://schemas.microsoft.com/office/2006/metadata/properties" ma:root="true" ma:fieldsID="a447206dab0015f8b9f8924535193e8c" ns1:_="">
    <xsd:import namespace="http://schemas.microsoft.com/sharepoint/v3"/>
    <xsd:element name="properties">
      <xsd:complexType>
        <xsd:sequence>
          <xsd:element name="documentManagement">
            <xsd:complexType>
              <xsd:all>
                <xsd:element ref="ns1:PublishingStartDate" minOccurs="0"/>
                <xsd:element ref="ns1:PublishingExpirationDat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PublishingStartDate" ma:index="8" nillable="true" ma:displayName="Scheduling Start Date" ma:description="" ma:hidden="true" ma:internalName="PublishingStartDate">
      <xsd:simpleType>
        <xsd:restriction base="dms:Unknown"/>
      </xsd:simpleType>
    </xsd:element>
    <xsd:element name="PublishingExpirationDate" ma:index="9" nillable="true" ma:displayName="Scheduling End Date" ma:description="" ma:hidden="true" ma:internalName="PublishingExpirationDate">
      <xsd:simpleType>
        <xsd:restriction base="dms:Unknow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PublishingExpirationDate xmlns="http://schemas.microsoft.com/sharepoint/v3" xsi:nil="true"/>
    <PublishingStartDate xmlns="http://schemas.microsoft.com/sharepoint/v3"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09BE70BF-8544-467A-B785-6047FAAE3D71}">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B5134EF7-F04D-4218-953F-7A835D8EE7C1}">
  <ds:schemaRefs>
    <ds:schemaRef ds:uri="http://purl.org/dc/terms/"/>
    <ds:schemaRef ds:uri="http://schemas.microsoft.com/office/2006/metadata/properties"/>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dcmitype/"/>
    <ds:schemaRef ds:uri="http://schemas.microsoft.com/sharepoint/v3"/>
    <ds:schemaRef ds:uri="http://www.w3.org/XML/1998/namespace"/>
  </ds:schemaRefs>
</ds:datastoreItem>
</file>

<file path=customXml/itemProps3.xml><?xml version="1.0" encoding="utf-8"?>
<ds:datastoreItem xmlns:ds="http://schemas.openxmlformats.org/officeDocument/2006/customXml" ds:itemID="{2F4EF345-C7A3-4312-A2DA-7A75ECC155C4}">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90</vt:i4>
      </vt:variant>
    </vt:vector>
  </HeadingPairs>
  <TitlesOfParts>
    <vt:vector size="96" baseType="lpstr">
      <vt:lpstr>Background</vt:lpstr>
      <vt:lpstr>Instructions - Revise 2014</vt:lpstr>
      <vt:lpstr>Conservation Report</vt:lpstr>
      <vt:lpstr>Renewables Report</vt:lpstr>
      <vt:lpstr>Renewable Cost Report</vt:lpstr>
      <vt:lpstr>Data</vt:lpstr>
      <vt:lpstr>'Conservation Report'!CON_2014_Agriculture_Expend</vt:lpstr>
      <vt:lpstr>'Conservation Report'!CON_2014_Agriculture_MWH</vt:lpstr>
      <vt:lpstr>'Conservation Report'!CON_2014_Commercial_Expend</vt:lpstr>
      <vt:lpstr>'Conservation Report'!CON_2014_Commercial_MWH</vt:lpstr>
      <vt:lpstr>'Conservation Report'!CON_2014_Distribution_Expend</vt:lpstr>
      <vt:lpstr>'Conservation Report'!CON_2014_Distribution_MWH</vt:lpstr>
      <vt:lpstr>'Conservation Report'!CON_2014_Expenditures</vt:lpstr>
      <vt:lpstr>'Conservation Report'!CON_2014_Industrial_Expend</vt:lpstr>
      <vt:lpstr>'Conservation Report'!CON_2014_Industrial_MWH</vt:lpstr>
      <vt:lpstr>'Conservation Report'!CON_2014_MWH</vt:lpstr>
      <vt:lpstr>'Conservation Report'!CON_2014_NEEA_Expend</vt:lpstr>
      <vt:lpstr>'Conservation Report'!CON_2014_NEEA_MWH</vt:lpstr>
      <vt:lpstr>'Conservation Report'!CON_2014_OtherSector1_Expend</vt:lpstr>
      <vt:lpstr>'Conservation Report'!CON_2014_OtherSector1_MWH</vt:lpstr>
      <vt:lpstr>'Conservation Report'!CON_2014_OtherSector2_Expend</vt:lpstr>
      <vt:lpstr>'Conservation Report'!CON_2014_OtherSector2_MWH</vt:lpstr>
      <vt:lpstr>'Conservation Report'!CON_2014_Production_Expend</vt:lpstr>
      <vt:lpstr>'Conservation Report'!CON_2014_Production_MWH</vt:lpstr>
      <vt:lpstr>'Conservation Report'!CON_2014_Program1_Expend</vt:lpstr>
      <vt:lpstr>'Conservation Report'!CON_2014_Program2_Expend</vt:lpstr>
      <vt:lpstr>'Conservation Report'!CON_2014_Residential_Expend</vt:lpstr>
      <vt:lpstr>'Conservation Report'!CON_2014_Residential_MWH</vt:lpstr>
      <vt:lpstr>'Conservation Report'!CON_2015_Agriculture_Expend</vt:lpstr>
      <vt:lpstr>'Conservation Report'!CON_2015_Agriculture_MWH</vt:lpstr>
      <vt:lpstr>'Conservation Report'!CON_2015_Commercial_Expend</vt:lpstr>
      <vt:lpstr>'Conservation Report'!CON_2015_Commercial_MWH</vt:lpstr>
      <vt:lpstr>'Conservation Report'!CON_2015_Distribution_Expend</vt:lpstr>
      <vt:lpstr>'Conservation Report'!CON_2015_Distribution_MWH</vt:lpstr>
      <vt:lpstr>'Conservation Report'!CON_2015_Expenditures</vt:lpstr>
      <vt:lpstr>'Conservation Report'!CON_2015_Industrial_Expend</vt:lpstr>
      <vt:lpstr>'Conservation Report'!CON_2015_Industrial_MWH</vt:lpstr>
      <vt:lpstr>'Conservation Report'!CON_2015_MWH</vt:lpstr>
      <vt:lpstr>'Conservation Report'!CON_2015_NEEA_Expend</vt:lpstr>
      <vt:lpstr>'Conservation Report'!CON_2015_NEEA_MWH</vt:lpstr>
      <vt:lpstr>'Conservation Report'!CON_2015_OtherSector1_Expend</vt:lpstr>
      <vt:lpstr>'Conservation Report'!CON_2015_OtherSector1_MWH</vt:lpstr>
      <vt:lpstr>'Conservation Report'!CON_2015_OtherSector2_Expend</vt:lpstr>
      <vt:lpstr>'Conservation Report'!CON_2015_OtherSector2_MWH</vt:lpstr>
      <vt:lpstr>'Conservation Report'!CON_2015_Production_Expend</vt:lpstr>
      <vt:lpstr>'Conservation Report'!CON_2015_Production_MWH</vt:lpstr>
      <vt:lpstr>'Conservation Report'!CON_2015_Program1_Expend</vt:lpstr>
      <vt:lpstr>'Conservation Report'!CON_2015_Program2_Expend</vt:lpstr>
      <vt:lpstr>'Conservation Report'!CON_2015_Residential_Expend</vt:lpstr>
      <vt:lpstr>'Conservation Report'!CON_2015_Residential_MWH</vt:lpstr>
      <vt:lpstr>'Conservation Report'!CON_Contact_Name</vt:lpstr>
      <vt:lpstr>'Conservation Report'!CON_Email</vt:lpstr>
      <vt:lpstr>'Conservation Report'!CON_Phone</vt:lpstr>
      <vt:lpstr>'Conservation Report'!CON_Potential_2015_2023</vt:lpstr>
      <vt:lpstr>'Conservation Report'!CON_Potential_2016_2025</vt:lpstr>
      <vt:lpstr>'Conservation Report'!CON_Report_Date</vt:lpstr>
      <vt:lpstr>'Conservation Report'!CON_Target_2014_2015</vt:lpstr>
      <vt:lpstr>'Conservation Report'!CON_Target_2016_2017</vt:lpstr>
      <vt:lpstr>'Conservation Report'!CON_Utility_Name</vt:lpstr>
      <vt:lpstr>'Conservation Report'!Print_Area</vt:lpstr>
      <vt:lpstr>'Renewable Cost Report'!Print_Area</vt:lpstr>
      <vt:lpstr>'Renewables Report'!Print_Area</vt:lpstr>
      <vt:lpstr>REN_Contact_Name</vt:lpstr>
      <vt:lpstr>REN_Email</vt:lpstr>
      <vt:lpstr>REN_ERR_ApprenticeLabor</vt:lpstr>
      <vt:lpstr>REN_ERR_Biodiesel</vt:lpstr>
      <vt:lpstr>REN_ERR_Biomass</vt:lpstr>
      <vt:lpstr>REN_ERR_Geothermal</vt:lpstr>
      <vt:lpstr>REN_ERR_LandfillGas</vt:lpstr>
      <vt:lpstr>REN_ERR_QBE</vt:lpstr>
      <vt:lpstr>REN_ERR_SewageGas</vt:lpstr>
      <vt:lpstr>REN_ERR_Solar</vt:lpstr>
      <vt:lpstr>REN_ERR_Water</vt:lpstr>
      <vt:lpstr>REN_ERR_Wind</vt:lpstr>
      <vt:lpstr>REN_ERR_WOT</vt:lpstr>
      <vt:lpstr>REN_Expenditure_Amount_2016</vt:lpstr>
      <vt:lpstr>REN_Expenditure_Percent_2016</vt:lpstr>
      <vt:lpstr>REN_Load_2014</vt:lpstr>
      <vt:lpstr>REN_Load_2015</vt:lpstr>
      <vt:lpstr>REN_REC_ApprenticeLabor</vt:lpstr>
      <vt:lpstr>REN_REC_Biodiesel</vt:lpstr>
      <vt:lpstr>REN_REC_Biomass</vt:lpstr>
      <vt:lpstr>REN_REC_DistributedGeneration</vt:lpstr>
      <vt:lpstr>REN_REC_Geothermal</vt:lpstr>
      <vt:lpstr>REN_REC_LandfillGas</vt:lpstr>
      <vt:lpstr>REN_REC_QBE</vt:lpstr>
      <vt:lpstr>REN_REC_SewageGas</vt:lpstr>
      <vt:lpstr>REN_REC_Solar</vt:lpstr>
      <vt:lpstr>REN_REC_Wind</vt:lpstr>
      <vt:lpstr>REN_REC_WOT</vt:lpstr>
      <vt:lpstr>REN_RetailRevenueRequirement_2016</vt:lpstr>
      <vt:lpstr>REN_Submittal_Date</vt:lpstr>
      <vt:lpstr>REN_Total_2016</vt:lpstr>
      <vt:lpstr>REN_Utility_Name</vt:lpstr>
      <vt:lpstr>ResourceType</vt:lpstr>
      <vt:lpstr>ResourceType_REC</vt:lpstr>
    </vt:vector>
  </TitlesOfParts>
  <Company>CTED</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EIA 2016 Report Workbook for Utilities</dc:title>
  <dc:creator>Glenn Blackmon</dc:creator>
  <cp:keywords>EIA 2014 Report Workbook for Utilities</cp:keywords>
  <cp:lastModifiedBy>Blackmon, Glenn (COM)</cp:lastModifiedBy>
  <cp:lastPrinted>2016-06-29T17:52:13Z</cp:lastPrinted>
  <dcterms:created xsi:type="dcterms:W3CDTF">2012-03-20T21:01:26Z</dcterms:created>
  <dcterms:modified xsi:type="dcterms:W3CDTF">2016-08-10T23:36:49Z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0x010100D92CC68C7D89D34691C2113CD0EC1234</vt:lpwstr>
  </property>
  <property fmtid="{D5CDD505-2E9C-101B-9397-08002B2CF9AE}" pid="3" name="Tags">
    <vt:lpwstr/>
  </property>
  <property fmtid="{D5CDD505-2E9C-101B-9397-08002B2CF9AE}" pid="4" name="Order">
    <vt:r8>360100</vt:r8>
  </property>
  <property fmtid="{D5CDD505-2E9C-101B-9397-08002B2CF9AE}" pid="5" name="xd_Signature">
    <vt:bool>false</vt:bool>
  </property>
  <property fmtid="{D5CDD505-2E9C-101B-9397-08002B2CF9AE}" pid="6" name="xd_ProgID">
    <vt:lpwstr/>
  </property>
  <property fmtid="{D5CDD505-2E9C-101B-9397-08002B2CF9AE}" pid="7" name="TemplateUrl">
    <vt:lpwstr/>
  </property>
  <property fmtid="{D5CDD505-2E9C-101B-9397-08002B2CF9AE}" pid="8" name="_SourceUrl">
    <vt:lpwstr/>
  </property>
  <property fmtid="{D5CDD505-2E9C-101B-9397-08002B2CF9AE}" pid="9" name="_SharedFileIndex">
    <vt:lpwstr/>
  </property>
</Properties>
</file>