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4.xml" ContentType="application/vnd.openxmlformats-officedocument.drawing+xml"/>
  <Override PartName="/xl/embeddings/oleObject2.bin" ContentType="application/vnd.openxmlformats-officedocument.oleObject"/>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B:\Rates\Power, Rates &amp; Transmission Management\I 937 Compliance\Progress Reports to Commerce\2016 June Progress Report\"/>
    </mc:Choice>
  </mc:AlternateContent>
  <bookViews>
    <workbookView xWindow="0" yWindow="0" windowWidth="28800" windowHeight="12030" tabRatio="719"/>
  </bookViews>
  <sheets>
    <sheet name="Background" sheetId="21" r:id="rId1"/>
    <sheet name="Instructions - Revise 2014" sheetId="20" r:id="rId2"/>
    <sheet name="Conservation Report" sheetId="24" r:id="rId3"/>
    <sheet name="Renewables Report" sheetId="16" r:id="rId4"/>
    <sheet name="Renewable Cost Report" sheetId="23" r:id="rId5"/>
    <sheet name="Data" sheetId="19" state="hidden" r:id="rId6"/>
  </sheets>
  <externalReferences>
    <externalReference r:id="rId7"/>
  </externalReference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MacroRecalculationBehavior" hidden="1">0</definedName>
    <definedName name="_AtRisk_SimSetting_RandomNumberGenerator" hidden="1">0</definedName>
    <definedName name="_AtRisk_SimSetting_ReportOptionCustomItemsCount" hidden="1">0</definedName>
    <definedName name="_AtRisk_SimSetting_ReportOptionDataMode" hidden="1">1</definedName>
    <definedName name="_AtRisk_SimSetting_ReportOptionReportMultiSimType" hidden="1">1</definedName>
    <definedName name="_AtRisk_SimSetting_ReportOptionReportPlacement" hidden="1">1</definedName>
    <definedName name="_AtRisk_SimSetting_ReportOptionReportSelection" hidden="1">8</definedName>
    <definedName name="_AtRisk_SimSetting_ReportOptionReportsFileType" hidden="1">1</definedName>
    <definedName name="_AtRisk_SimSetting_ReportOptionSelectiveQR" hidden="1">FALSE</definedName>
    <definedName name="_AtRisk_SimSetting_ReportsList" hidden="1">8</definedName>
    <definedName name="_AtRisk_SimSetting_ShowSimulationProgressWindow" hidden="1">TRUE</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ActiveSimulationNumber"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CON_2014_Agriculture_Expend" localSheetId="2">'Conservation Report'!$D$22</definedName>
    <definedName name="CON_2014_Agriculture_Expend">#REF!</definedName>
    <definedName name="CON_2014_Agriculture_MWH" localSheetId="2">'Conservation Report'!$C$22</definedName>
    <definedName name="CON_2014_Agriculture_MWH">#REF!</definedName>
    <definedName name="CON_2014_Commercial_Expend" localSheetId="2">'Conservation Report'!$D$20</definedName>
    <definedName name="CON_2014_Commercial_Expend">#REF!</definedName>
    <definedName name="CON_2014_Commercial_MWH" localSheetId="2">'Conservation Report'!$C$20</definedName>
    <definedName name="CON_2014_Commercial_MWH">#REF!</definedName>
    <definedName name="CON_2014_Distribution_Expend" localSheetId="2">'Conservation Report'!$D$23</definedName>
    <definedName name="CON_2014_Distribution_Expend">#REF!</definedName>
    <definedName name="CON_2014_Distribution_MWH" localSheetId="2">'Conservation Report'!$C$23</definedName>
    <definedName name="CON_2014_Distribution_MWH">#REF!</definedName>
    <definedName name="CON_2014_Expenditures" localSheetId="2">'Conservation Report'!$D$31</definedName>
    <definedName name="CON_2014_Expenditures">#REF!</definedName>
    <definedName name="CON_2014_Industrial_Expend" localSheetId="2">'Conservation Report'!$D$21</definedName>
    <definedName name="CON_2014_Industrial_Expend">#REF!</definedName>
    <definedName name="CON_2014_Industrial_MWH" localSheetId="2">'Conservation Report'!$C$21</definedName>
    <definedName name="CON_2014_Industrial_MWH">#REF!</definedName>
    <definedName name="CON_2014_MWH" localSheetId="2">'Conservation Report'!$C$31</definedName>
    <definedName name="CON_2014_MWH">#REF!</definedName>
    <definedName name="CON_2014_NEEA_Expend" localSheetId="2">'Conservation Report'!$D$25</definedName>
    <definedName name="CON_2014_NEEA_Expend">#REF!</definedName>
    <definedName name="CON_2014_NEEA_MWH" localSheetId="2">'Conservation Report'!$C$25</definedName>
    <definedName name="CON_2014_NEEA_MWH">#REF!</definedName>
    <definedName name="CON_2014_OtherSector1_Expend" localSheetId="2">'Conservation Report'!$D$26</definedName>
    <definedName name="CON_2014_OtherSector1_Expend">#REF!</definedName>
    <definedName name="CON_2014_OtherSector1_MWH" localSheetId="2">'Conservation Report'!$C$26</definedName>
    <definedName name="CON_2014_OtherSector1_MWH">#REF!</definedName>
    <definedName name="CON_2014_OtherSector2_Expend" localSheetId="2">'Conservation Report'!$D$27</definedName>
    <definedName name="CON_2014_OtherSector2_Expend">#REF!</definedName>
    <definedName name="CON_2014_OtherSector2_MWH" localSheetId="2">'Conservation Report'!$C$27</definedName>
    <definedName name="CON_2014_OtherSector2_MWH">#REF!</definedName>
    <definedName name="CON_2014_Production_Expend" localSheetId="2">'Conservation Report'!$D$24</definedName>
    <definedName name="CON_2014_Production_Expend">#REF!</definedName>
    <definedName name="CON_2014_Production_MWH" localSheetId="2">'Conservation Report'!$C$24</definedName>
    <definedName name="CON_2014_Production_MWH">#REF!</definedName>
    <definedName name="CON_2014_Program1_Expend" localSheetId="2">'Conservation Report'!$D$29</definedName>
    <definedName name="CON_2014_Program1_Expend">#REF!</definedName>
    <definedName name="CON_2014_Program2_Expend" localSheetId="2">'Conservation Report'!$D$30</definedName>
    <definedName name="CON_2014_Program2_Expend">#REF!</definedName>
    <definedName name="CON_2014_Residential_Expend" localSheetId="2">'Conservation Report'!$D$19</definedName>
    <definedName name="CON_2014_Residential_Expend">#REF!</definedName>
    <definedName name="CON_2014_Residential_MWH" localSheetId="2">'Conservation Report'!$C$19</definedName>
    <definedName name="CON_2014_Residential_MWH">#REF!</definedName>
    <definedName name="CON_2015_Agriculture_Expend" localSheetId="2">'Conservation Report'!$G$22</definedName>
    <definedName name="CON_2015_Agriculture_Expend">#REF!</definedName>
    <definedName name="CON_2015_Agriculture_MWH" localSheetId="2">'Conservation Report'!$F$22</definedName>
    <definedName name="CON_2015_Agriculture_MWH">#REF!</definedName>
    <definedName name="CON_2015_Commercial_Expend" localSheetId="2">'Conservation Report'!$G$20</definedName>
    <definedName name="CON_2015_Commercial_Expend">#REF!</definedName>
    <definedName name="CON_2015_Commercial_MWH" localSheetId="2">'Conservation Report'!$F$20</definedName>
    <definedName name="CON_2015_Commercial_MWH">#REF!</definedName>
    <definedName name="CON_2015_Distribution_Expend" localSheetId="2">'Conservation Report'!$G$23</definedName>
    <definedName name="CON_2015_Distribution_Expend">#REF!</definedName>
    <definedName name="CON_2015_Distribution_MWH" localSheetId="2">'Conservation Report'!$F$23</definedName>
    <definedName name="CON_2015_Distribution_MWH">#REF!</definedName>
    <definedName name="CON_2015_Expenditures" localSheetId="2">'Conservation Report'!$G$31</definedName>
    <definedName name="CON_2015_Expenditures">#REF!</definedName>
    <definedName name="CON_2015_Industrial_Expend" localSheetId="2">'Conservation Report'!$G$21</definedName>
    <definedName name="CON_2015_Industrial_Expend">#REF!</definedName>
    <definedName name="CON_2015_Industrial_MWH" localSheetId="2">'Conservation Report'!$F$21</definedName>
    <definedName name="CON_2015_Industrial_MWH">#REF!</definedName>
    <definedName name="CON_2015_MWH" localSheetId="2">'Conservation Report'!$F$31</definedName>
    <definedName name="CON_2015_MWH">#REF!</definedName>
    <definedName name="CON_2015_NEEA_Expend" localSheetId="2">'Conservation Report'!$G$25</definedName>
    <definedName name="CON_2015_NEEA_Expend">#REF!</definedName>
    <definedName name="CON_2015_NEEA_MWH" localSheetId="2">'Conservation Report'!$F$25</definedName>
    <definedName name="CON_2015_NEEA_MWH">#REF!</definedName>
    <definedName name="CON_2015_OtherSector1_Expend" localSheetId="2">'Conservation Report'!$G$26</definedName>
    <definedName name="CON_2015_OtherSector1_Expend">#REF!</definedName>
    <definedName name="CON_2015_OtherSector1_MWH" localSheetId="2">'Conservation Report'!$F$26</definedName>
    <definedName name="CON_2015_OtherSector1_MWH">#REF!</definedName>
    <definedName name="CON_2015_OtherSector2_Expend" localSheetId="2">'Conservation Report'!$G$27</definedName>
    <definedName name="CON_2015_OtherSector2_Expend">#REF!</definedName>
    <definedName name="CON_2015_OtherSector2_MWH" localSheetId="2">'Conservation Report'!$F$27</definedName>
    <definedName name="CON_2015_OtherSector2_MWH">#REF!</definedName>
    <definedName name="CON_2015_Production_Expend" localSheetId="2">'Conservation Report'!$G$24</definedName>
    <definedName name="CON_2015_Production_Expend">#REF!</definedName>
    <definedName name="CON_2015_Production_MWH" localSheetId="2">'Conservation Report'!$F$24</definedName>
    <definedName name="CON_2015_Production_MWH">#REF!</definedName>
    <definedName name="CON_2015_Program1_Expend" localSheetId="2">'Conservation Report'!$G$29</definedName>
    <definedName name="CON_2015_Program1_Expend">#REF!</definedName>
    <definedName name="CON_2015_Program2_Expend" localSheetId="2">'Conservation Report'!$G$30</definedName>
    <definedName name="CON_2015_Program2_Expend">#REF!</definedName>
    <definedName name="CON_2015_Residential_Expend" localSheetId="2">'Conservation Report'!$G$19</definedName>
    <definedName name="CON_2015_Residential_Expend">#REF!</definedName>
    <definedName name="CON_2015_Residential_MWH" localSheetId="2">'Conservation Report'!$F$19</definedName>
    <definedName name="CON_2015_Residential_MWH">#REF!</definedName>
    <definedName name="CON_Contact_Name" localSheetId="2">'Conservation Report'!$B$7</definedName>
    <definedName name="CON_Contact_Name">#REF!</definedName>
    <definedName name="CON_Email" localSheetId="2">'Conservation Report'!$B$9</definedName>
    <definedName name="CON_Email">#REF!</definedName>
    <definedName name="CON_Phone" localSheetId="2">'Conservation Report'!$B$8</definedName>
    <definedName name="CON_Phone">#REF!</definedName>
    <definedName name="CON_Potential_2015_2023" localSheetId="2">'Conservation Report'!$A$14</definedName>
    <definedName name="CON_Potential_2015_2023">#REF!</definedName>
    <definedName name="CON_Potential_2016_2025" localSheetId="2">'Conservation Report'!$C$14</definedName>
    <definedName name="CON_Potential_2016_2025">#REF!</definedName>
    <definedName name="CON_Report_Date" localSheetId="2">'Conservation Report'!$B$6</definedName>
    <definedName name="CON_Report_Date">#REF!</definedName>
    <definedName name="CON_Target_2014_2015" localSheetId="2">'Conservation Report'!$B$14</definedName>
    <definedName name="CON_Target_2014_2015">#REF!</definedName>
    <definedName name="CON_Target_2016_2017" localSheetId="2">'Conservation Report'!$D$14</definedName>
    <definedName name="CON_Target_2016_2017">#REF!</definedName>
    <definedName name="CON_Utility_Name" localSheetId="0">'[1]Conservation Report'!$C$3:$E$3</definedName>
    <definedName name="CON_Utility_Name" localSheetId="2">'Conservation Report'!$B$5</definedName>
    <definedName name="CON_Utility_Name">#REF!</definedName>
    <definedName name="Pal_Workbook_GUID" hidden="1">"CBL4GKFWB51GPDPY1ZJ7US8N"</definedName>
    <definedName name="_xlnm.Print_Area" localSheetId="4">'Renewable Cost Report'!$A$3:$K$55</definedName>
    <definedName name="_xlnm.Print_Area" localSheetId="3">'Renewables Report'!$A$3:$N$116</definedName>
    <definedName name="REN_Contact_Name" localSheetId="2">#REF!</definedName>
    <definedName name="REN_Contact_Name">'Renewables Report'!$B$7</definedName>
    <definedName name="REN_Email" localSheetId="2">#REF!</definedName>
    <definedName name="REN_Email">'Renewables Report'!$B$9</definedName>
    <definedName name="REN_ERR_ApprenticeLabor" localSheetId="2">#REF!</definedName>
    <definedName name="REN_ERR_ApprenticeLabor">'Renewables Report'!$M$18</definedName>
    <definedName name="REN_ERR_Biodiesel" localSheetId="2">#REF!</definedName>
    <definedName name="REN_ERR_Biodiesel">'Renewables Report'!$J$18</definedName>
    <definedName name="REN_ERR_Biomass" localSheetId="2">#REF!</definedName>
    <definedName name="REN_ERR_Biomass">'Renewables Report'!$K$18</definedName>
    <definedName name="REN_ERR_Geothermal" localSheetId="2">#REF!</definedName>
    <definedName name="REN_ERR_Geothermal">'Renewables Report'!$F$18</definedName>
    <definedName name="REN_ERR_LandfillGas" localSheetId="2">#REF!</definedName>
    <definedName name="REN_ERR_LandfillGas">'Renewables Report'!$G$18</definedName>
    <definedName name="REN_ERR_QBE" localSheetId="2">#REF!</definedName>
    <definedName name="REN_ERR_QBE">'Renewables Report'!$L$18</definedName>
    <definedName name="REN_ERR_SewageGas" localSheetId="2">#REF!</definedName>
    <definedName name="REN_ERR_SewageGas">'Renewables Report'!$I$18</definedName>
    <definedName name="REN_ERR_Solar" localSheetId="2">#REF!</definedName>
    <definedName name="REN_ERR_Solar">'Renewables Report'!$E$18</definedName>
    <definedName name="REN_ERR_Water" localSheetId="2">#REF!</definedName>
    <definedName name="REN_ERR_Water">'Renewables Report'!$C$18</definedName>
    <definedName name="REN_ERR_Wind" localSheetId="2">#REF!</definedName>
    <definedName name="REN_ERR_Wind">'Renewables Report'!$D$18</definedName>
    <definedName name="REN_ERR_WOT" localSheetId="2">#REF!</definedName>
    <definedName name="REN_ERR_WOT">'Renewables Report'!$H$18</definedName>
    <definedName name="REN_Expenditure_Amount_2016" localSheetId="2">#REF!</definedName>
    <definedName name="REN_Expenditure_Amount_2016">'Renewables Report'!$M$13</definedName>
    <definedName name="REN_Expenditure_Percent_2016" localSheetId="2">#REF!</definedName>
    <definedName name="REN_Expenditure_Percent_2016">'Renewables Report'!$M$15</definedName>
    <definedName name="REN_Load_2014" localSheetId="2">#REF!</definedName>
    <definedName name="REN_Load_2014">'Renewables Report'!$M$5</definedName>
    <definedName name="REN_Load_2015" localSheetId="2">#REF!</definedName>
    <definedName name="REN_Load_2015">'Renewables Report'!$M$6</definedName>
    <definedName name="REN_REC_ApprenticeLabor" localSheetId="2">#REF!</definedName>
    <definedName name="REN_REC_ApprenticeLabor">'Renewables Report'!$M$19</definedName>
    <definedName name="REN_REC_Biodiesel" localSheetId="2">#REF!</definedName>
    <definedName name="REN_REC_Biodiesel">'Renewables Report'!$J$19</definedName>
    <definedName name="REN_REC_Biomass" localSheetId="2">#REF!</definedName>
    <definedName name="REN_REC_Biomass">'Renewables Report'!$K$19</definedName>
    <definedName name="REN_REC_DistributedGeneration" localSheetId="2">#REF!</definedName>
    <definedName name="REN_REC_DistributedGeneration">'Renewables Report'!$N$19</definedName>
    <definedName name="REN_REC_Geothermal" localSheetId="2">#REF!</definedName>
    <definedName name="REN_REC_Geothermal">'Renewables Report'!$F$19</definedName>
    <definedName name="REN_REC_LandfillGas" localSheetId="2">#REF!</definedName>
    <definedName name="REN_REC_LandfillGas">'Renewables Report'!$G$19</definedName>
    <definedName name="REN_REC_QBE" localSheetId="2">#REF!</definedName>
    <definedName name="REN_REC_QBE">'Renewables Report'!$L$19</definedName>
    <definedName name="REN_REC_SewageGas" localSheetId="2">#REF!</definedName>
    <definedName name="REN_REC_SewageGas">'Renewables Report'!$I$19</definedName>
    <definedName name="REN_REC_Solar" localSheetId="2">#REF!</definedName>
    <definedName name="REN_REC_Solar">'Renewables Report'!$E$19</definedName>
    <definedName name="REN_REC_Wind" localSheetId="2">#REF!</definedName>
    <definedName name="REN_REC_Wind">'Renewables Report'!$D$19</definedName>
    <definedName name="REN_REC_WOT" localSheetId="2">#REF!</definedName>
    <definedName name="REN_REC_WOT">'Renewables Report'!$H$19</definedName>
    <definedName name="REN_RetailRevenueRequirement_2016" localSheetId="2">#REF!</definedName>
    <definedName name="REN_RetailRevenueRequirement_2016">'Renewables Report'!$M$14</definedName>
    <definedName name="REN_Submittal_Date" localSheetId="2">#REF!</definedName>
    <definedName name="REN_Submittal_Date">'Renewables Report'!$B$6</definedName>
    <definedName name="REN_Total_2016" localSheetId="2">#REF!</definedName>
    <definedName name="REN_Total_2016">'Renewables Report'!$M$10</definedName>
    <definedName name="REN_Utility_Name" localSheetId="2">#REF!</definedName>
    <definedName name="REN_Utility_Name">'Renewables Report'!$B$5</definedName>
    <definedName name="ResourceType">Data!$A$6:$A$15</definedName>
    <definedName name="ResourceType_REC">Data!$A$7:$A$15</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7</definedName>
    <definedName name="RiskIsInput" hidden="1">_xll.RiskCellHasTokensFromFormula(262144+512+524288,_xlfn.FORMULATEXT(INDIRECT(ADDRESS(ROW(),COLUMN()))))</definedName>
    <definedName name="RiskIsOptimization" hidden="1">TRUE</definedName>
    <definedName name="RiskIsOutput" hidden="1">_xll.RiskCellHasTokensFromFormula(1024,_xlfn.FORMULATEXT(INDIRECT(ADDRESS(ROW(),COLUMN()))))</definedName>
    <definedName name="RiskIsStatistics" hidden="1">_xll.RiskCellHasTokensFromFormula(4096+32768+65536,_xlfn.FORMULATEXT(INDIRECT(ADDRESS(ROW(),COLUMN()))))</definedName>
    <definedName name="RiskMinimizeOnStart" hidden="1">FALSE</definedName>
    <definedName name="RiskMonitorConvergence" hidden="1">FALSE</definedName>
    <definedName name="RiskMultipleCPUSupportEnabled" hidden="1">TRUE</definedName>
    <definedName name="RiskNumIterations" hidden="1">5000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s>
  <calcPr calcId="152511"/>
</workbook>
</file>

<file path=xl/calcChain.xml><?xml version="1.0" encoding="utf-8"?>
<calcChain xmlns="http://schemas.openxmlformats.org/spreadsheetml/2006/main">
  <c r="B42" i="16" l="1"/>
  <c r="B43" i="16"/>
  <c r="B41" i="16"/>
  <c r="A42" i="16"/>
  <c r="A43" i="16"/>
  <c r="A41" i="16"/>
  <c r="B33" i="24" l="1"/>
  <c r="G31" i="24"/>
  <c r="F31" i="24"/>
  <c r="D31" i="24"/>
  <c r="C31" i="24"/>
  <c r="G9" i="24"/>
  <c r="G10" i="24" s="1"/>
  <c r="I8" i="24"/>
  <c r="G8" i="24"/>
  <c r="H83" i="16" l="1"/>
  <c r="I83" i="16"/>
  <c r="E40" i="16"/>
  <c r="B78" i="16"/>
  <c r="A78" i="16"/>
  <c r="B79" i="16"/>
  <c r="A79" i="16"/>
  <c r="A77" i="16"/>
  <c r="I69" i="16"/>
  <c r="I67" i="16"/>
  <c r="B77" i="16"/>
  <c r="B5" i="16"/>
  <c r="E62" i="16"/>
  <c r="F40" i="16"/>
  <c r="I71" i="16"/>
  <c r="I72" i="16"/>
  <c r="I73" i="16"/>
  <c r="I74" i="16"/>
  <c r="I68" i="16"/>
  <c r="I75" i="16"/>
  <c r="I76" i="16"/>
  <c r="I77" i="16"/>
  <c r="I80" i="16"/>
  <c r="I81" i="16"/>
  <c r="I82" i="16"/>
  <c r="I79" i="16"/>
  <c r="I84" i="16"/>
  <c r="I85" i="16"/>
  <c r="I86" i="16"/>
  <c r="I87" i="16"/>
  <c r="I78" i="16"/>
  <c r="I88" i="16"/>
  <c r="I89" i="16"/>
  <c r="I90" i="16"/>
  <c r="I91" i="16"/>
  <c r="C18" i="16"/>
  <c r="BM2" i="19" s="1"/>
  <c r="D37" i="23"/>
  <c r="F51" i="23"/>
  <c r="F53" i="23"/>
  <c r="D36" i="23"/>
  <c r="F36" i="23" s="1"/>
  <c r="C10" i="23"/>
  <c r="C11" i="23"/>
  <c r="J11" i="23" s="1"/>
  <c r="E13" i="23"/>
  <c r="E16" i="23"/>
  <c r="E21" i="23"/>
  <c r="J23" i="23"/>
  <c r="C9" i="23"/>
  <c r="J9" i="23" s="1"/>
  <c r="E19" i="16"/>
  <c r="CB2" i="19" s="1"/>
  <c r="F19" i="16"/>
  <c r="G19" i="16"/>
  <c r="BY2" i="19" s="1"/>
  <c r="H19" i="16"/>
  <c r="I19" i="16"/>
  <c r="CA2" i="19" s="1"/>
  <c r="J19" i="16"/>
  <c r="K19" i="16"/>
  <c r="BV2" i="19" s="1"/>
  <c r="L19" i="16"/>
  <c r="BZ2" i="19"/>
  <c r="D19" i="16"/>
  <c r="D18" i="16"/>
  <c r="BN2" i="19" s="1"/>
  <c r="E18" i="16"/>
  <c r="BL2" i="19" s="1"/>
  <c r="F18" i="16"/>
  <c r="F20" i="16" s="1"/>
  <c r="G18" i="16"/>
  <c r="BI2" i="19" s="1"/>
  <c r="H18" i="16"/>
  <c r="BO2" i="19" s="1"/>
  <c r="I18" i="16"/>
  <c r="I20" i="16" s="1"/>
  <c r="J18" i="16"/>
  <c r="J20" i="16" s="1"/>
  <c r="K18" i="16"/>
  <c r="L18" i="16"/>
  <c r="L20" i="16" s="1"/>
  <c r="H91" i="16"/>
  <c r="H67" i="16"/>
  <c r="H69" i="16"/>
  <c r="H71" i="16"/>
  <c r="H72" i="16"/>
  <c r="H73" i="16"/>
  <c r="H74" i="16"/>
  <c r="H68" i="16"/>
  <c r="H75" i="16"/>
  <c r="H76" i="16"/>
  <c r="H77" i="16"/>
  <c r="H80" i="16"/>
  <c r="H81" i="16"/>
  <c r="H82" i="16"/>
  <c r="H79" i="16"/>
  <c r="H84" i="16"/>
  <c r="H85" i="16"/>
  <c r="H86" i="16"/>
  <c r="H87" i="16"/>
  <c r="H78" i="16"/>
  <c r="H88" i="16"/>
  <c r="H89" i="16"/>
  <c r="H90" i="16"/>
  <c r="F41" i="16"/>
  <c r="F42" i="16"/>
  <c r="F43" i="16"/>
  <c r="F44" i="16"/>
  <c r="F45" i="16"/>
  <c r="F46" i="16"/>
  <c r="F47" i="16"/>
  <c r="F48" i="16"/>
  <c r="F49" i="16"/>
  <c r="F50" i="16"/>
  <c r="F51" i="16"/>
  <c r="F52" i="16"/>
  <c r="F53" i="16"/>
  <c r="F54" i="16"/>
  <c r="F55" i="16"/>
  <c r="F56" i="16"/>
  <c r="F57" i="16"/>
  <c r="F58" i="16"/>
  <c r="F59" i="16"/>
  <c r="F60" i="16"/>
  <c r="M19" i="16"/>
  <c r="N19" i="16"/>
  <c r="CH2" i="19"/>
  <c r="CF2" i="19"/>
  <c r="CE2" i="19"/>
  <c r="BS2" i="19"/>
  <c r="BR2" i="19"/>
  <c r="BD2" i="19"/>
  <c r="BC2" i="19"/>
  <c r="BB2" i="19"/>
  <c r="BA2" i="19"/>
  <c r="AZ2" i="19"/>
  <c r="AY2" i="19"/>
  <c r="AX2" i="19"/>
  <c r="AW2" i="19"/>
  <c r="AV2" i="19"/>
  <c r="AU2" i="19"/>
  <c r="AT2" i="19"/>
  <c r="AS2" i="19"/>
  <c r="AR2" i="19"/>
  <c r="AQ2" i="19"/>
  <c r="AP2" i="19"/>
  <c r="AO2" i="19"/>
  <c r="AN2" i="19"/>
  <c r="AM2" i="19"/>
  <c r="AL2" i="19"/>
  <c r="AK2" i="19"/>
  <c r="AJ2" i="19"/>
  <c r="AI2" i="19"/>
  <c r="AH2" i="19"/>
  <c r="AF2" i="19"/>
  <c r="AE2" i="19"/>
  <c r="AC2" i="19"/>
  <c r="AB2" i="19"/>
  <c r="AA2" i="19"/>
  <c r="Z2" i="19"/>
  <c r="Y2" i="19"/>
  <c r="X2" i="19"/>
  <c r="W2" i="19"/>
  <c r="V2" i="19"/>
  <c r="U2" i="19"/>
  <c r="T2" i="19"/>
  <c r="S2" i="19"/>
  <c r="R2" i="19"/>
  <c r="Q2" i="19"/>
  <c r="P2" i="19"/>
  <c r="O2" i="19"/>
  <c r="N2" i="19"/>
  <c r="M2" i="19"/>
  <c r="L2" i="19"/>
  <c r="J2" i="19"/>
  <c r="I2" i="19"/>
  <c r="G2" i="19"/>
  <c r="F2" i="19"/>
  <c r="E2" i="19"/>
  <c r="D2" i="19"/>
  <c r="C2" i="19"/>
  <c r="B2" i="19"/>
  <c r="AD2" i="19"/>
  <c r="AG2" i="19"/>
  <c r="F37" i="23"/>
  <c r="F52" i="23"/>
  <c r="F54" i="23"/>
  <c r="K28" i="23"/>
  <c r="K27" i="23"/>
  <c r="K26" i="23"/>
  <c r="K25" i="23"/>
  <c r="K24" i="23"/>
  <c r="K23" i="23"/>
  <c r="K22" i="23"/>
  <c r="K21" i="23"/>
  <c r="K20" i="23"/>
  <c r="K19" i="23"/>
  <c r="K18" i="23"/>
  <c r="K17" i="23"/>
  <c r="K16" i="23"/>
  <c r="K15" i="23"/>
  <c r="K14" i="23"/>
  <c r="K13" i="23"/>
  <c r="K12" i="23"/>
  <c r="K11" i="23"/>
  <c r="K10" i="23"/>
  <c r="K9" i="23"/>
  <c r="E55" i="23"/>
  <c r="C37" i="23"/>
  <c r="B37" i="23"/>
  <c r="C36" i="23"/>
  <c r="B36" i="23"/>
  <c r="A37" i="23"/>
  <c r="A36" i="23"/>
  <c r="D29" i="23"/>
  <c r="I29" i="23"/>
  <c r="J10" i="23"/>
  <c r="E11" i="23"/>
  <c r="J12" i="23"/>
  <c r="J13" i="23"/>
  <c r="J14" i="23"/>
  <c r="E15" i="23"/>
  <c r="J16" i="23"/>
  <c r="J17" i="23"/>
  <c r="J18" i="23"/>
  <c r="E19" i="23"/>
  <c r="E20" i="23"/>
  <c r="J21" i="23"/>
  <c r="J22" i="23"/>
  <c r="E23" i="23"/>
  <c r="J24" i="23"/>
  <c r="E25" i="23"/>
  <c r="J26" i="23"/>
  <c r="E27" i="23"/>
  <c r="E28" i="23"/>
  <c r="J27" i="23"/>
  <c r="J19" i="23"/>
  <c r="J25" i="23"/>
  <c r="J15" i="23"/>
  <c r="E24" i="23"/>
  <c r="J20" i="23"/>
  <c r="J28" i="23"/>
  <c r="E26" i="23"/>
  <c r="E22" i="23"/>
  <c r="E14" i="23"/>
  <c r="E10" i="23"/>
  <c r="E12" i="23"/>
  <c r="E5" i="23"/>
  <c r="E31" i="23" s="1"/>
  <c r="N5" i="21"/>
  <c r="N7" i="20"/>
  <c r="M7" i="16"/>
  <c r="M9" i="16" s="1"/>
  <c r="A2" i="19"/>
  <c r="BG2" i="19"/>
  <c r="H2" i="19"/>
  <c r="K2" i="19"/>
  <c r="BW2" i="19"/>
  <c r="N20" i="16"/>
  <c r="E93" i="16"/>
  <c r="BT2" i="19"/>
  <c r="BU2" i="19"/>
  <c r="BX2" i="19"/>
  <c r="CC2" i="19"/>
  <c r="G20" i="16"/>
  <c r="D20" i="16"/>
  <c r="C29" i="23" l="1"/>
  <c r="E9" i="23"/>
  <c r="M18" i="16"/>
  <c r="M20" i="16" s="1"/>
  <c r="BJ2" i="19"/>
  <c r="H20" i="16"/>
  <c r="K29" i="23"/>
  <c r="M13" i="16" s="1"/>
  <c r="BE2" i="19"/>
  <c r="C20" i="16"/>
  <c r="CD2" i="19"/>
  <c r="E20" i="16"/>
  <c r="BF2" i="19"/>
  <c r="BH2" i="19"/>
  <c r="BK2" i="19"/>
  <c r="K20" i="16"/>
  <c r="M15" i="16" l="1"/>
  <c r="BQ2" i="19" s="1"/>
  <c r="BP2" i="19"/>
  <c r="M10" i="16"/>
  <c r="CG2" i="19" s="1"/>
</calcChain>
</file>

<file path=xl/comments1.xml><?xml version="1.0" encoding="utf-8"?>
<comments xmlns="http://schemas.openxmlformats.org/spreadsheetml/2006/main">
  <authors>
    <author>Blackmon, Glenn (COM)</author>
  </authors>
  <commentList>
    <comment ref="A11" authorId="0" shapeId="0">
      <text>
        <r>
          <rPr>
            <sz val="9"/>
            <color indexed="81"/>
            <rFont val="Tahoma"/>
            <family val="2"/>
          </rPr>
          <t xml:space="preserve">Utilities selecting the Resource Cost or No Load Growth methods must submit additional information. See details in WAC 194-37-110.
</t>
        </r>
      </text>
    </comment>
    <comment ref="K17" authorId="0" shapeId="0">
      <text>
        <r>
          <rPr>
            <b/>
            <sz val="9"/>
            <color indexed="81"/>
            <rFont val="Tahoma"/>
            <family val="2"/>
          </rPr>
          <t>NOTE:</t>
        </r>
        <r>
          <rPr>
            <sz val="9"/>
            <color indexed="81"/>
            <rFont val="Tahoma"/>
            <family val="2"/>
          </rPr>
          <t xml:space="preserve"> Biomass energy is electricity from a biomass-fueled generating facility that commenced operation after March 31, 1999, and meets other legal requirements. 
</t>
        </r>
      </text>
    </comment>
    <comment ref="L17" authorId="0" shapeId="0">
      <text>
        <r>
          <rPr>
            <b/>
            <sz val="9"/>
            <color indexed="81"/>
            <rFont val="Tahoma"/>
            <family val="2"/>
          </rPr>
          <t xml:space="preserve">NOTE: </t>
        </r>
        <r>
          <rPr>
            <sz val="9"/>
            <color indexed="81"/>
            <rFont val="Tahoma"/>
            <family val="2"/>
          </rPr>
          <t>Qualified biomass energy is defined as electricity generated using biomass at a facility that commenced operation before March 31, 1999.
DO NOT report qualified biomass energy in the "biomass energy" column.</t>
        </r>
      </text>
    </comment>
  </commentList>
</comments>
</file>

<file path=xl/sharedStrings.xml><?xml version="1.0" encoding="utf-8"?>
<sst xmlns="http://schemas.openxmlformats.org/spreadsheetml/2006/main" count="389" uniqueCount="240">
  <si>
    <t>Utility Contact Name/Dept</t>
  </si>
  <si>
    <t>Phone</t>
  </si>
  <si>
    <t>Email</t>
  </si>
  <si>
    <t>Achievement</t>
  </si>
  <si>
    <t>Utility</t>
  </si>
  <si>
    <t xml:space="preserve"> NEEA</t>
  </si>
  <si>
    <t>Total</t>
  </si>
  <si>
    <t>MWh</t>
  </si>
  <si>
    <t>Utility Expenditures ($)</t>
  </si>
  <si>
    <t xml:space="preserve"> Residential </t>
  </si>
  <si>
    <t xml:space="preserve"> Commercial</t>
  </si>
  <si>
    <t xml:space="preserve"> Industrial</t>
  </si>
  <si>
    <t xml:space="preserve"> Agriculture</t>
  </si>
  <si>
    <t>Compliance Year</t>
  </si>
  <si>
    <t>Water</t>
  </si>
  <si>
    <t>Wind</t>
  </si>
  <si>
    <t>Landfill Gas</t>
  </si>
  <si>
    <t>Gas from Sewage Treatment</t>
  </si>
  <si>
    <t>Renewable Energy Credits</t>
  </si>
  <si>
    <t>Facility Name</t>
  </si>
  <si>
    <t xml:space="preserve"> Distribution Efficiency</t>
  </si>
  <si>
    <t xml:space="preserve"> Production Efficiency</t>
  </si>
  <si>
    <t>Renewable Resources</t>
  </si>
  <si>
    <t>Wave, Ocean, Tidal</t>
  </si>
  <si>
    <t>Conservation by Sector</t>
  </si>
  <si>
    <t>Eligible Renewable Resources (MWh)</t>
  </si>
  <si>
    <t>Loads and Resources</t>
  </si>
  <si>
    <t>Select</t>
  </si>
  <si>
    <t xml:space="preserve">19.285.040 (2)(b) Renewables Target </t>
  </si>
  <si>
    <t>19.285.040 (2)(d) No Load Growth</t>
  </si>
  <si>
    <t xml:space="preserve">19.285.050 Incremental Resource Cost  </t>
  </si>
  <si>
    <t>WREGIS ID</t>
  </si>
  <si>
    <t>MWh equiv.</t>
  </si>
  <si>
    <r>
      <t xml:space="preserve"> </t>
    </r>
    <r>
      <rPr>
        <b/>
        <sz val="10"/>
        <color theme="1"/>
        <rFont val="Arial"/>
        <family val="2"/>
      </rPr>
      <t>Planning</t>
    </r>
  </si>
  <si>
    <r>
      <t xml:space="preserve">Conservation expenditures </t>
    </r>
    <r>
      <rPr>
        <i/>
        <sz val="10"/>
        <color theme="1"/>
        <rFont val="Arial"/>
        <family val="2"/>
      </rPr>
      <t xml:space="preserve">NOT </t>
    </r>
    <r>
      <rPr>
        <sz val="10"/>
        <color theme="1"/>
        <rFont val="Arial"/>
        <family val="2"/>
      </rPr>
      <t>included in sector expenditures</t>
    </r>
  </si>
  <si>
    <t>2014 - 2015 Planning</t>
  </si>
  <si>
    <t>2014 - 2015 Target (MWh)</t>
  </si>
  <si>
    <t>2014-2023 Ten Year Potential (MWh)</t>
  </si>
  <si>
    <t>Documentation of the calculation and inputs for percentage of revenue requirement invested in renewables:</t>
  </si>
  <si>
    <t>Other notes and explanations:</t>
  </si>
  <si>
    <t>Contact Name/Dept</t>
  </si>
  <si>
    <t>Report Date</t>
  </si>
  <si>
    <t>CON_Contact_Name</t>
  </si>
  <si>
    <t>CON_Email</t>
  </si>
  <si>
    <t>CON_Phone</t>
  </si>
  <si>
    <t>CON_Report_Date</t>
  </si>
  <si>
    <t>CON_Utility_Name</t>
  </si>
  <si>
    <t>REN_Contact_Name</t>
  </si>
  <si>
    <t>REN_Email</t>
  </si>
  <si>
    <t>REN_Submittal_Date</t>
  </si>
  <si>
    <t>REN_Utility_Name</t>
  </si>
  <si>
    <t>CON_Target_2014_2015</t>
  </si>
  <si>
    <t>REN_ERR_ApprenticeLabor</t>
  </si>
  <si>
    <t>REN_ERR_Biodiesel</t>
  </si>
  <si>
    <t>REN_ERR_Biomass</t>
  </si>
  <si>
    <t>REN_ERR_Geothermal</t>
  </si>
  <si>
    <t>REN_ERR_LandfillGas</t>
  </si>
  <si>
    <t>REN_ERR_SewageGas</t>
  </si>
  <si>
    <t>REN_ERR_Solar</t>
  </si>
  <si>
    <t>REN_ERR_Water</t>
  </si>
  <si>
    <t>REN_ERR_Wind</t>
  </si>
  <si>
    <t>REN_ERR_WOT</t>
  </si>
  <si>
    <t>REN_REC_ApprenticeLabor</t>
  </si>
  <si>
    <t>REN_REC_Biodiesel</t>
  </si>
  <si>
    <t>REN_REC_Biomass</t>
  </si>
  <si>
    <t>REN_REC_DistributedGeneration</t>
  </si>
  <si>
    <t>REN_REC_Geothermal</t>
  </si>
  <si>
    <t>REN_REC_LandfillGas</t>
  </si>
  <si>
    <t>REN_REC_SewageGas</t>
  </si>
  <si>
    <t>REN_REC_Solar</t>
  </si>
  <si>
    <t>REN_REC_Wind</t>
  </si>
  <si>
    <t>REN_REC_WOT</t>
  </si>
  <si>
    <t>Amount invested in incremental cost of eligible renewable resources and the cost of RECs</t>
  </si>
  <si>
    <t>Investment in renewables and RECs as a percent of retail revenue requirement</t>
  </si>
  <si>
    <t>2014 Achievement</t>
  </si>
  <si>
    <t>CON_2014_Agriculture_Expend</t>
  </si>
  <si>
    <t>CON_2014_Agriculture_MWH</t>
  </si>
  <si>
    <t>CON_2014_Commercial_Expend</t>
  </si>
  <si>
    <t>CON_2014_Commercial_MWH</t>
  </si>
  <si>
    <t>CON_2014_Distribution_Expend</t>
  </si>
  <si>
    <t>CON_2014_Distribution_MWH</t>
  </si>
  <si>
    <t>CON_2014_Expenditures</t>
  </si>
  <si>
    <t>CON_2014_Industrial_Expend</t>
  </si>
  <si>
    <t>CON_2014_Industrial_MWH</t>
  </si>
  <si>
    <t>CON_2014_MWH</t>
  </si>
  <si>
    <t>CON_2014_OtherSector1_Expend</t>
  </si>
  <si>
    <t>CON_2014_OtherSector1_MWH</t>
  </si>
  <si>
    <t>CON_2014_OtherSector2_Expend</t>
  </si>
  <si>
    <t>CON_2014_OtherSector2_MWH</t>
  </si>
  <si>
    <t>CON_2014_Production_Expend</t>
  </si>
  <si>
    <t>CON_2014_Production_MWH</t>
  </si>
  <si>
    <t>CON_2014_Program1_Expend</t>
  </si>
  <si>
    <t>CON_2014_Program2_Expend</t>
  </si>
  <si>
    <t>CON_2014_Residential_Expend</t>
  </si>
  <si>
    <t>CON_2014_Residential_MWH</t>
  </si>
  <si>
    <t>Description of Substitute Resource</t>
  </si>
  <si>
    <t>Renewable Resource Cost per MWH</t>
  </si>
  <si>
    <t>Substitute Resource Cost per MWH</t>
  </si>
  <si>
    <t>Totals</t>
  </si>
  <si>
    <t>2014 Annual Load (MWh)</t>
  </si>
  <si>
    <t>Incremental Cost of Renewable Resources</t>
  </si>
  <si>
    <t xml:space="preserve">Cost of Renewable Energy Credits </t>
  </si>
  <si>
    <t>CON_2014_NEEA_Expend</t>
  </si>
  <si>
    <t>CON_2014_NEEA_MWH</t>
  </si>
  <si>
    <t>REN_Load_2014</t>
  </si>
  <si>
    <r>
      <t>Submission:</t>
    </r>
    <r>
      <rPr>
        <sz val="11"/>
        <color rgb="FF000000"/>
        <rFont val="Arial"/>
        <family val="2"/>
      </rPr>
      <t xml:space="preserve"> Email this workbook and all supporting documentation to </t>
    </r>
    <r>
      <rPr>
        <b/>
        <sz val="11"/>
        <color rgb="FF993300"/>
        <rFont val="Arial"/>
        <family val="2"/>
      </rPr>
      <t xml:space="preserve">EIA@commerce.wa.gov </t>
    </r>
  </si>
  <si>
    <t>Number of RECs</t>
  </si>
  <si>
    <t>Annual Cost of Renewable Energy Credits</t>
  </si>
  <si>
    <t>Cost per REC</t>
  </si>
  <si>
    <t>Published 3/31/2016</t>
  </si>
  <si>
    <r>
      <t>Deadline:</t>
    </r>
    <r>
      <rPr>
        <sz val="11"/>
        <color rgb="FF000000"/>
        <rFont val="Arial"/>
        <family val="2"/>
      </rPr>
      <t xml:space="preserve"> June 1, 2016</t>
    </r>
  </si>
  <si>
    <t>RENEWABLE ENERGY WORKSHEET – REVISIONS TO 2014 REPORT</t>
  </si>
  <si>
    <r>
      <t xml:space="preserve">In addition to submitting the 2016 report, each qualifying utility should review the renewable energy report it submitted in 2014. In many cases, the specific resources and quantities actually used to comply with the 2014 target differ from what the utility reported in June 2014. </t>
    </r>
    <r>
      <rPr>
        <u/>
        <sz val="11"/>
        <color theme="1"/>
        <rFont val="Arial"/>
        <family val="2"/>
      </rPr>
      <t>Utilities should submit a revised 2014 report if the actual values differ from the values reported in 2014.</t>
    </r>
    <r>
      <rPr>
        <sz val="11"/>
        <color theme="1"/>
        <rFont val="Arial"/>
        <family val="2"/>
      </rPr>
      <t xml:space="preserve"> </t>
    </r>
  </si>
  <si>
    <r>
      <rPr>
        <b/>
        <sz val="11"/>
        <color theme="1"/>
        <rFont val="Arial"/>
        <family val="2"/>
      </rPr>
      <t>WAC 194-37-110(4): Final compliance report.</t>
    </r>
    <r>
      <rPr>
        <sz val="11"/>
        <color theme="1"/>
        <rFont val="Arial"/>
        <family val="2"/>
      </rPr>
      <t xml:space="preserve"> A utility must submit a final renewable compliance report by the later of (a) two years after the filing of the report required in subsections (1) through (3) of this section; or (b) ninety days after the issuance of the auditor's report for the target year. The final renewable compliance report must provide an update of any revisions to the information previously reported pursuant to this section or, if no revisions were made, notify the department that the initial report should be considered the final report. </t>
    </r>
  </si>
  <si>
    <t xml:space="preserve">Please use the 2014 template and mark it as "revised." Contact Commerce to obtain a copy of the 2014 reporting template if necessary. </t>
  </si>
  <si>
    <r>
      <rPr>
        <sz val="12"/>
        <color theme="1"/>
        <rFont val="Arial"/>
        <family val="2"/>
      </rPr>
      <t xml:space="preserve">Energy Independence Act (I-937) </t>
    </r>
    <r>
      <rPr>
        <sz val="12"/>
        <color theme="1"/>
        <rFont val="Arial Black"/>
        <family val="2"/>
      </rPr>
      <t>Conservation Report 2016</t>
    </r>
  </si>
  <si>
    <t>2016 - 2017 Planning</t>
  </si>
  <si>
    <t>2015 Achievement</t>
  </si>
  <si>
    <t>2014-2015</t>
  </si>
  <si>
    <t>Biennial</t>
  </si>
  <si>
    <t>2016-2017</t>
  </si>
  <si>
    <t>2016-2025 Ten Year Potential (MWh)</t>
  </si>
  <si>
    <t>2016 - 2017 Target (MWh)</t>
  </si>
  <si>
    <t>Summary of Achievement and Targets (MWh)</t>
  </si>
  <si>
    <t xml:space="preserve">Target </t>
  </si>
  <si>
    <t>Target</t>
  </si>
  <si>
    <r>
      <rPr>
        <sz val="12"/>
        <color indexed="8"/>
        <rFont val="Arial"/>
        <family val="2"/>
      </rPr>
      <t>Energy Independence Act (EIA)</t>
    </r>
    <r>
      <rPr>
        <b/>
        <sz val="12"/>
        <color indexed="8"/>
        <rFont val="Arial"/>
        <family val="2"/>
      </rPr>
      <t xml:space="preserve"> </t>
    </r>
    <r>
      <rPr>
        <sz val="12"/>
        <color indexed="8"/>
        <rFont val="Arial Black"/>
        <family val="2"/>
      </rPr>
      <t>Renewable Energy Report 2016</t>
    </r>
  </si>
  <si>
    <t>2016 Compliance Method:</t>
  </si>
  <si>
    <r>
      <t xml:space="preserve">REC Vintage </t>
    </r>
    <r>
      <rPr>
        <sz val="10"/>
        <rFont val="Arial"/>
        <family val="2"/>
      </rPr>
      <t>(Year)</t>
    </r>
  </si>
  <si>
    <t>RECs</t>
  </si>
  <si>
    <t>Total Renewables (MWh+RECs)</t>
  </si>
  <si>
    <t>2015 Annual Load (MWh)</t>
  </si>
  <si>
    <t>2016 Renewable Target (% of load)</t>
  </si>
  <si>
    <t>Eligible Renewable Resources and RECs</t>
  </si>
  <si>
    <t>Incremental Cost of Renewable Resource in 2016</t>
  </si>
  <si>
    <t>Substitute Resource Annual Cost in 2016</t>
  </si>
  <si>
    <t>Renewable Resource Annual Cost in 2016</t>
  </si>
  <si>
    <r>
      <rPr>
        <sz val="12"/>
        <color indexed="8"/>
        <rFont val="Arial"/>
        <family val="2"/>
      </rPr>
      <t>Energy Independence Act (EIA)</t>
    </r>
    <r>
      <rPr>
        <b/>
        <sz val="12"/>
        <color indexed="8"/>
        <rFont val="Arial"/>
        <family val="2"/>
      </rPr>
      <t xml:space="preserve"> </t>
    </r>
    <r>
      <rPr>
        <sz val="12"/>
        <color indexed="8"/>
        <rFont val="Arial Black"/>
        <family val="2"/>
      </rPr>
      <t>Incremental Cost and REC Cost Report 2016</t>
    </r>
  </si>
  <si>
    <t>Expenditures on Renewable Resources and RECs - 2016</t>
  </si>
  <si>
    <t>Total annual retail revenue requirement - 2016</t>
  </si>
  <si>
    <t>2016 Eligible Renewable Energy Target (MWh)</t>
  </si>
  <si>
    <t>CON_2015_Commercial_MWH</t>
  </si>
  <si>
    <t>CON_2015_Industrial_MWH</t>
  </si>
  <si>
    <t>CON_2015_Residential_MWH</t>
  </si>
  <si>
    <t>CON_Potential_2015_2023</t>
  </si>
  <si>
    <t>CON_Potential_2016_2025</t>
  </si>
  <si>
    <t>CON_Target_2016_2017</t>
  </si>
  <si>
    <t>REN_Expenditure_Amount_2016</t>
  </si>
  <si>
    <t>REN_Expenditure_Percent_2016</t>
  </si>
  <si>
    <t>REN_Load_2015</t>
  </si>
  <si>
    <t>REN_RetailRevenueRequirement_2016</t>
  </si>
  <si>
    <t>REN_Total_2016</t>
  </si>
  <si>
    <t>CON_2015_Commercial_Expend</t>
  </si>
  <si>
    <t>CON_2015_OtherSector1_Expend</t>
  </si>
  <si>
    <t>CON_2015_OtherSector1_MWH</t>
  </si>
  <si>
    <t>CON_2015_OtherSector2_Expend</t>
  </si>
  <si>
    <t>CON_2015_OtherSector2_MWH</t>
  </si>
  <si>
    <t>CON_2015_Production_Expend</t>
  </si>
  <si>
    <t>CON_2015_Production_MWH</t>
  </si>
  <si>
    <t>CON_2015_Program1_Expend</t>
  </si>
  <si>
    <t>CON_2015_Program2_Expend</t>
  </si>
  <si>
    <t>CON_2015_Agriculture_Expend</t>
  </si>
  <si>
    <t>CON_2015_Agriculture_MWH</t>
  </si>
  <si>
    <t>CON_2015_Distribution_Expend</t>
  </si>
  <si>
    <t>CON_2015_Distribution_MWH</t>
  </si>
  <si>
    <t>CON_2015_Expenditures</t>
  </si>
  <si>
    <t>CON_2015_Industrial_Expend</t>
  </si>
  <si>
    <t>CON_2015_MWH</t>
  </si>
  <si>
    <t>CON_2015_NEEA_Expend</t>
  </si>
  <si>
    <t>CON_2015_NEEA_MWH</t>
  </si>
  <si>
    <t>CON_2015_Residential_Expend</t>
  </si>
  <si>
    <t>Biodiesel</t>
  </si>
  <si>
    <t>Solar</t>
  </si>
  <si>
    <t>Geothermal</t>
  </si>
  <si>
    <t>Resource Type</t>
  </si>
  <si>
    <t>Biomass</t>
  </si>
  <si>
    <t>Qualified Biomass</t>
  </si>
  <si>
    <t>Apprentice Labor Eligibility</t>
  </si>
  <si>
    <t>No</t>
  </si>
  <si>
    <t>Apprentice Labor Amount</t>
  </si>
  <si>
    <t>Distributed Generation Eligibility</t>
  </si>
  <si>
    <t>Distributed Generation Amount</t>
  </si>
  <si>
    <t>Quantity</t>
  </si>
  <si>
    <t>Explanatory Notes (as needed)</t>
  </si>
  <si>
    <t>Apprentice Labor Credit</t>
  </si>
  <si>
    <t>Distributed Generation Credit</t>
  </si>
  <si>
    <t>REC_REC_QBE</t>
  </si>
  <si>
    <t>REN_ERR_QBE</t>
  </si>
  <si>
    <r>
      <t xml:space="preserve">Apprentice Labor Amount </t>
    </r>
    <r>
      <rPr>
        <sz val="9"/>
        <color theme="1"/>
        <rFont val="Arial"/>
        <family val="2"/>
      </rPr>
      <t>(MWh equiv.)</t>
    </r>
  </si>
  <si>
    <r>
      <t xml:space="preserve">Generation Amount </t>
    </r>
    <r>
      <rPr>
        <sz val="9"/>
        <color theme="1"/>
        <rFont val="Arial"/>
        <family val="2"/>
      </rPr>
      <t>(MWh)</t>
    </r>
  </si>
  <si>
    <t>Notes, including a brief description of the methodology used to establish the utility's ten-year potential and biennial target to capture cost-effective conservation:</t>
  </si>
  <si>
    <t>Enter information in green-shaded fields.</t>
  </si>
  <si>
    <t>Do not modify blue-shaded fields.</t>
  </si>
  <si>
    <r>
      <t xml:space="preserve">Energy Independence Act (I-937) </t>
    </r>
    <r>
      <rPr>
        <sz val="11"/>
        <color rgb="FF000000"/>
        <rFont val="Arial Black"/>
        <family val="2"/>
      </rPr>
      <t>Report Workbook</t>
    </r>
  </si>
  <si>
    <t>Surplus (Deficit)</t>
  </si>
  <si>
    <t>Utility Name</t>
  </si>
  <si>
    <r>
      <t>Questions:</t>
    </r>
    <r>
      <rPr>
        <sz val="11"/>
        <color rgb="FF000000"/>
        <rFont val="Arial"/>
        <family val="2"/>
      </rPr>
      <t xml:space="preserve"> Glenn Blackmon, State Energy Office, (360) 725-3115, </t>
    </r>
    <r>
      <rPr>
        <b/>
        <sz val="11"/>
        <color theme="3"/>
        <rFont val="Arial"/>
        <family val="2"/>
      </rPr>
      <t>glenn.blackmon@commerce.wa.gov</t>
    </r>
  </si>
  <si>
    <t>Woods Creek Hydroelectric Project</t>
  </si>
  <si>
    <t>Hampton Generating Unit</t>
  </si>
  <si>
    <t>Qualco Energy Corporation</t>
  </si>
  <si>
    <t>W978</t>
  </si>
  <si>
    <t>W806</t>
  </si>
  <si>
    <t>W360</t>
  </si>
  <si>
    <t>W3954</t>
  </si>
  <si>
    <t>Snohomish County PUD</t>
  </si>
  <si>
    <t>Anna Berg</t>
  </si>
  <si>
    <t>(425) 783-1604</t>
  </si>
  <si>
    <t>ajberg@snopud.com</t>
  </si>
  <si>
    <t>Snohomish PUD Solar Express Projects</t>
  </si>
  <si>
    <t>BPA Tier 1: Condon Phase II</t>
  </si>
  <si>
    <t>W833</t>
  </si>
  <si>
    <t>Yes</t>
  </si>
  <si>
    <t>BPA Tier 1: Klondike I</t>
  </si>
  <si>
    <t>W238</t>
  </si>
  <si>
    <t>BPA Tier 1: Klondike III</t>
  </si>
  <si>
    <t>W237</t>
  </si>
  <si>
    <t>BPA Tier 1: Stateline</t>
  </si>
  <si>
    <t>W248</t>
  </si>
  <si>
    <t>H.W. Hill Landfill Gas</t>
  </si>
  <si>
    <t>W2398</t>
  </si>
  <si>
    <t>White Creek Wind</t>
  </si>
  <si>
    <t>Hay Canyon Wind</t>
  </si>
  <si>
    <t>Wheat Field Wind</t>
  </si>
  <si>
    <t>W2794</t>
  </si>
  <si>
    <t>Average of 2014 &amp; 2015 Annual Loads (MWh)</t>
  </si>
  <si>
    <t>W3708-3713, 4046-4047, 4634-4637</t>
  </si>
  <si>
    <t>Forecast annual production based on Q1-2016 actuals and forecast balance of the year.</t>
  </si>
  <si>
    <t>Incremental hydro based on Q1-2016 actual production and forecast balance of the year production.</t>
  </si>
  <si>
    <t>BPA Tier 1: Condon Phase I</t>
  </si>
  <si>
    <t>W774</t>
  </si>
  <si>
    <t>Forecast based on 2015 actuals</t>
  </si>
  <si>
    <t>2015 retirement expected for some of these RECs</t>
  </si>
  <si>
    <t>Nicole Moreland - Manager, Business Operations</t>
  </si>
  <si>
    <t>425-783-1879</t>
  </si>
  <si>
    <t>namoreland@snopud.com</t>
  </si>
  <si>
    <t>Labor</t>
  </si>
  <si>
    <t>Overhead</t>
  </si>
  <si>
    <t>Resolution 5655 Adopting Two Year Conservation Targets</t>
  </si>
  <si>
    <t xml:space="preserve"> </t>
  </si>
  <si>
    <t>BPA Power</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</si>
</sst>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_(&quot;$&quot;* \(#,##0.00\);_(&quot;$&quot;* &quot;-&quot;??_);_(@_)"/>
    <numFmt numFmtId="43" formatCode="_(* #,##0.00_);_(* \(#,##0.00\);_(* &quot;-&quot;??_);_(@_)"/>
    <numFmt numFmtId="164" formatCode="_(* #,##0.0_);_(* \(#,##0.0\);_(* &quot;-&quot;??_);_(@_)"/>
    <numFmt numFmtId="165" formatCode="_(* #,##0_);_(* \(#,##0\);_(* &quot;-&quot;??_);_(@_)"/>
    <numFmt numFmtId="166" formatCode="_(&quot;$&quot;* #,##0_);_(&quot;$&quot;* \(#,##0\);_(&quot;$&quot;* &quot;-&quot;??_);_(@_)"/>
    <numFmt numFmtId="167" formatCode="0.0%"/>
    <numFmt numFmtId="168" formatCode="[$-409]mmmm\ d\,\ yyyy;@"/>
    <numFmt numFmtId="169" formatCode="&quot;$&quot;#,##0"/>
  </numFmts>
  <fonts count="31" x14ac:knownFonts="1">
    <font>
      <sz val="11"/>
      <color theme="1"/>
      <name val="Calibri"/>
      <family val="2"/>
      <scheme val="minor"/>
    </font>
    <font>
      <sz val="10"/>
      <name val="Arial"/>
      <family val="2"/>
    </font>
    <font>
      <b/>
      <sz val="10"/>
      <name val="Arial"/>
      <family val="2"/>
    </font>
    <font>
      <sz val="12"/>
      <color indexed="8"/>
      <name val="Arial Black"/>
      <family val="2"/>
    </font>
    <font>
      <sz val="12"/>
      <color indexed="8"/>
      <name val="Arial"/>
      <family val="2"/>
    </font>
    <font>
      <b/>
      <sz val="12"/>
      <color indexed="8"/>
      <name val="Arial"/>
      <family val="2"/>
    </font>
    <font>
      <sz val="11"/>
      <color theme="1"/>
      <name val="Calibri"/>
      <family val="2"/>
      <scheme val="minor"/>
    </font>
    <font>
      <u/>
      <sz val="8.25"/>
      <color theme="10"/>
      <name val="Calibri"/>
      <family val="2"/>
    </font>
    <font>
      <sz val="10"/>
      <color theme="1"/>
      <name val="Arial"/>
      <family val="2"/>
    </font>
    <font>
      <b/>
      <sz val="10"/>
      <color theme="1"/>
      <name val="Arial"/>
      <family val="2"/>
    </font>
    <font>
      <i/>
      <sz val="10"/>
      <color theme="1"/>
      <name val="Arial"/>
      <family val="2"/>
    </font>
    <font>
      <sz val="9"/>
      <color theme="1"/>
      <name val="Arial"/>
      <family val="2"/>
    </font>
    <font>
      <b/>
      <sz val="9"/>
      <color theme="1"/>
      <name val="Arial"/>
      <family val="2"/>
    </font>
    <font>
      <sz val="11"/>
      <color theme="1"/>
      <name val="Arial"/>
      <family val="2"/>
    </font>
    <font>
      <sz val="14"/>
      <color theme="1"/>
      <name val="Arial"/>
      <family val="2"/>
    </font>
    <font>
      <sz val="8"/>
      <color rgb="FF000000"/>
      <name val="Tahoma"/>
      <family val="2"/>
    </font>
    <font>
      <sz val="12"/>
      <color theme="1"/>
      <name val="Arial Black"/>
      <family val="2"/>
    </font>
    <font>
      <sz val="12"/>
      <color theme="1"/>
      <name val="Arial"/>
      <family val="2"/>
    </font>
    <font>
      <sz val="9.75"/>
      <color theme="1"/>
      <name val="Arial"/>
      <family val="2"/>
    </font>
    <font>
      <sz val="11"/>
      <color rgb="FF000000"/>
      <name val="Arial Black"/>
      <family val="2"/>
    </font>
    <font>
      <u/>
      <sz val="11"/>
      <color theme="1"/>
      <name val="Arial"/>
      <family val="2"/>
    </font>
    <font>
      <sz val="11"/>
      <color rgb="FF000000"/>
      <name val="Arial"/>
      <family val="2"/>
    </font>
    <font>
      <b/>
      <sz val="11"/>
      <color rgb="FF000000"/>
      <name val="Arial"/>
      <family val="2"/>
    </font>
    <font>
      <b/>
      <sz val="11"/>
      <color rgb="FF993300"/>
      <name val="Arial"/>
      <family val="2"/>
    </font>
    <font>
      <b/>
      <sz val="11"/>
      <color theme="1"/>
      <name val="Arial"/>
      <family val="2"/>
    </font>
    <font>
      <b/>
      <sz val="12"/>
      <color theme="1"/>
      <name val="Arial"/>
      <family val="2"/>
    </font>
    <font>
      <sz val="9"/>
      <color indexed="81"/>
      <name val="Tahoma"/>
      <family val="2"/>
    </font>
    <font>
      <b/>
      <sz val="9"/>
      <color indexed="81"/>
      <name val="Tahoma"/>
      <family val="2"/>
    </font>
    <font>
      <b/>
      <sz val="14"/>
      <color theme="1"/>
      <name val="Arial"/>
      <family val="2"/>
    </font>
    <font>
      <b/>
      <sz val="11"/>
      <color theme="3"/>
      <name val="Arial"/>
      <family val="2"/>
    </font>
    <font>
      <b/>
      <sz val="10"/>
      <color rgb="FFFF0000"/>
      <name val="Arial"/>
      <family val="2"/>
    </font>
  </fonts>
  <fills count="9">
    <fill>
      <patternFill patternType="none"/>
    </fill>
    <fill>
      <patternFill patternType="gray125"/>
    </fill>
    <fill>
      <patternFill patternType="solid">
        <fgColor theme="0"/>
        <bgColor indexed="64"/>
      </patternFill>
    </fill>
    <fill>
      <patternFill patternType="lightUp">
        <fgColor theme="0" tint="-0.499984740745262"/>
        <bgColor rgb="FFE4E4E4"/>
      </patternFill>
    </fill>
    <fill>
      <patternFill patternType="darkGray">
        <fgColor theme="0" tint="-0.499984740745262"/>
        <bgColor rgb="FFE4E4E4"/>
      </patternFill>
    </fill>
    <fill>
      <patternFill patternType="solid">
        <fgColor rgb="FFFFFFFF"/>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3" tint="0.79998168889431442"/>
        <bgColor indexed="64"/>
      </patternFill>
    </fill>
  </fills>
  <borders count="56">
    <border>
      <left/>
      <right/>
      <top/>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style="hair">
        <color indexed="64"/>
      </top>
      <bottom style="hair">
        <color indexed="64"/>
      </bottom>
      <diagonal/>
    </border>
    <border>
      <left/>
      <right/>
      <top style="thin">
        <color indexed="64"/>
      </top>
      <bottom/>
      <diagonal/>
    </border>
    <border>
      <left style="hair">
        <color indexed="64"/>
      </left>
      <right/>
      <top style="thin">
        <color indexed="64"/>
      </top>
      <bottom style="thin">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right style="thin">
        <color indexed="64"/>
      </right>
      <top style="hair">
        <color indexed="64"/>
      </top>
      <bottom style="hair">
        <color indexed="64"/>
      </bottom>
      <diagonal/>
    </border>
    <border>
      <left/>
      <right style="thin">
        <color indexed="64"/>
      </right>
      <top/>
      <bottom style="thin">
        <color indexed="64"/>
      </bottom>
      <diagonal/>
    </border>
    <border>
      <left/>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thin">
        <color indexed="64"/>
      </bottom>
      <diagonal/>
    </border>
    <border>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diagonal/>
    </border>
    <border>
      <left/>
      <right style="hair">
        <color indexed="64"/>
      </right>
      <top/>
      <bottom style="hair">
        <color indexed="64"/>
      </bottom>
      <diagonal/>
    </border>
    <border>
      <left style="medium">
        <color indexed="64"/>
      </left>
      <right/>
      <top/>
      <bottom/>
      <diagonal/>
    </border>
    <border>
      <left style="medium">
        <color indexed="64"/>
      </left>
      <right/>
      <top/>
      <bottom style="medium">
        <color indexed="64"/>
      </bottom>
      <diagonal/>
    </border>
    <border>
      <left/>
      <right/>
      <top style="thick">
        <color indexed="64"/>
      </top>
      <bottom/>
      <diagonal/>
    </border>
    <border>
      <left/>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style="hair">
        <color indexed="64"/>
      </left>
      <right/>
      <top/>
      <bottom style="hair">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hair">
        <color indexed="64"/>
      </left>
      <right/>
      <top/>
      <bottom style="thin">
        <color indexed="64"/>
      </bottom>
      <diagonal/>
    </border>
    <border>
      <left/>
      <right/>
      <top/>
      <bottom style="medium">
        <color indexed="64"/>
      </bottom>
      <diagonal/>
    </border>
    <border>
      <left/>
      <right/>
      <top style="medium">
        <color indexed="64"/>
      </top>
      <bottom/>
      <diagonal/>
    </border>
    <border>
      <left/>
      <right/>
      <top style="thin">
        <color indexed="64"/>
      </top>
      <bottom style="medium">
        <color indexed="64"/>
      </bottom>
      <diagonal/>
    </border>
    <border>
      <left/>
      <right/>
      <top style="hair">
        <color indexed="64"/>
      </top>
      <bottom style="medium">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hair">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
      <left/>
      <right style="hair">
        <color indexed="64"/>
      </right>
      <top/>
      <bottom/>
      <diagonal/>
    </border>
  </borders>
  <cellStyleXfs count="5">
    <xf numFmtId="0" fontId="0" fillId="0" borderId="0"/>
    <xf numFmtId="43" fontId="6" fillId="0" borderId="0" applyFont="0" applyFill="0" applyBorder="0" applyAlignment="0" applyProtection="0"/>
    <xf numFmtId="44" fontId="6" fillId="0" borderId="0" applyFont="0" applyFill="0" applyBorder="0" applyAlignment="0" applyProtection="0"/>
    <xf numFmtId="0" fontId="7" fillId="0" borderId="0" applyNumberFormat="0" applyFill="0" applyBorder="0" applyAlignment="0" applyProtection="0">
      <alignment vertical="top"/>
      <protection locked="0"/>
    </xf>
    <xf numFmtId="9" fontId="6" fillId="0" borderId="0" applyFont="0" applyFill="0" applyBorder="0" applyAlignment="0" applyProtection="0"/>
  </cellStyleXfs>
  <cellXfs count="313">
    <xf numFmtId="0" fontId="0" fillId="0" borderId="0" xfId="0"/>
    <xf numFmtId="0" fontId="8" fillId="2" borderId="0" xfId="0" applyFont="1" applyFill="1"/>
    <xf numFmtId="0" fontId="9" fillId="2" borderId="0" xfId="0" applyFont="1" applyFill="1" applyBorder="1" applyAlignment="1"/>
    <xf numFmtId="0" fontId="9" fillId="2" borderId="0" xfId="0" applyFont="1" applyFill="1" applyBorder="1" applyAlignment="1">
      <alignment horizontal="right"/>
    </xf>
    <xf numFmtId="0" fontId="8" fillId="2" borderId="0" xfId="0" applyFont="1" applyFill="1" applyBorder="1" applyAlignment="1">
      <alignment horizontal="right"/>
    </xf>
    <xf numFmtId="0" fontId="8" fillId="2" borderId="0" xfId="0" applyFont="1" applyFill="1" applyAlignment="1">
      <alignment horizontal="right"/>
    </xf>
    <xf numFmtId="0" fontId="9" fillId="2" borderId="0" xfId="0" applyFont="1" applyFill="1" applyBorder="1" applyAlignment="1">
      <alignment horizontal="left"/>
    </xf>
    <xf numFmtId="0" fontId="8" fillId="2" borderId="0" xfId="0" applyFont="1" applyFill="1" applyBorder="1"/>
    <xf numFmtId="0" fontId="8" fillId="2" borderId="0" xfId="0" applyFont="1" applyFill="1" applyBorder="1" applyAlignment="1">
      <alignment horizontal="center"/>
    </xf>
    <xf numFmtId="0" fontId="9" fillId="2" borderId="0" xfId="0" applyFont="1" applyFill="1" applyAlignment="1">
      <alignment horizontal="right"/>
    </xf>
    <xf numFmtId="0" fontId="9" fillId="2" borderId="0" xfId="0" applyFont="1" applyFill="1"/>
    <xf numFmtId="0" fontId="8" fillId="2" borderId="0" xfId="0" applyFont="1" applyFill="1" applyAlignment="1"/>
    <xf numFmtId="0" fontId="11" fillId="2" borderId="0" xfId="0" applyFont="1" applyFill="1" applyAlignment="1">
      <alignment horizontal="center" vertical="center"/>
    </xf>
    <xf numFmtId="0" fontId="8" fillId="2" borderId="7" xfId="0" applyFont="1" applyFill="1" applyBorder="1"/>
    <xf numFmtId="0" fontId="12" fillId="2" borderId="0" xfId="0" applyFont="1" applyFill="1" applyBorder="1" applyAlignment="1">
      <alignment horizontal="center" vertical="center" wrapText="1"/>
    </xf>
    <xf numFmtId="0" fontId="1" fillId="2" borderId="11" xfId="0" applyFont="1" applyFill="1" applyBorder="1" applyAlignment="1" applyProtection="1">
      <alignment horizontal="right"/>
    </xf>
    <xf numFmtId="166" fontId="8" fillId="2" borderId="0" xfId="2" applyNumberFormat="1" applyFont="1" applyFill="1" applyBorder="1" applyAlignment="1">
      <alignment horizontal="right"/>
    </xf>
    <xf numFmtId="166" fontId="8" fillId="2" borderId="0" xfId="0" applyNumberFormat="1" applyFont="1" applyFill="1" applyBorder="1"/>
    <xf numFmtId="0" fontId="8" fillId="2" borderId="0" xfId="0" applyFont="1" applyFill="1" applyBorder="1" applyAlignment="1">
      <alignment horizontal="left"/>
    </xf>
    <xf numFmtId="0" fontId="13" fillId="2" borderId="26" xfId="0" applyFont="1" applyFill="1" applyBorder="1" applyAlignment="1">
      <alignment horizontal="right"/>
    </xf>
    <xf numFmtId="0" fontId="13" fillId="2" borderId="27" xfId="0" applyFont="1" applyFill="1" applyBorder="1" applyAlignment="1">
      <alignment horizontal="right"/>
    </xf>
    <xf numFmtId="0" fontId="13" fillId="2" borderId="0" xfId="0" applyFont="1" applyFill="1" applyAlignment="1">
      <alignment horizontal="right"/>
    </xf>
    <xf numFmtId="0" fontId="14" fillId="2" borderId="0" xfId="0" applyFont="1" applyFill="1"/>
    <xf numFmtId="0" fontId="14" fillId="2" borderId="0" xfId="0" applyFont="1" applyFill="1" applyBorder="1" applyAlignment="1"/>
    <xf numFmtId="0" fontId="13" fillId="2" borderId="0" xfId="0" applyFont="1" applyFill="1" applyBorder="1"/>
    <xf numFmtId="0" fontId="13" fillId="2" borderId="0" xfId="0" applyFont="1" applyFill="1"/>
    <xf numFmtId="0" fontId="5" fillId="2" borderId="0" xfId="0" applyNumberFormat="1" applyFont="1" applyFill="1" applyBorder="1" applyAlignment="1"/>
    <xf numFmtId="0" fontId="2" fillId="2" borderId="0" xfId="0" applyFont="1" applyFill="1" applyAlignment="1">
      <alignment horizontal="center"/>
    </xf>
    <xf numFmtId="0" fontId="1" fillId="2" borderId="0" xfId="0" applyFont="1" applyFill="1" applyBorder="1" applyAlignment="1">
      <alignment horizontal="right"/>
    </xf>
    <xf numFmtId="0" fontId="8" fillId="2" borderId="30" xfId="0" applyFont="1" applyFill="1" applyBorder="1"/>
    <xf numFmtId="0" fontId="8" fillId="2" borderId="34" xfId="0" applyFont="1" applyFill="1" applyBorder="1"/>
    <xf numFmtId="0" fontId="8" fillId="2" borderId="29" xfId="0" applyFont="1" applyFill="1" applyBorder="1"/>
    <xf numFmtId="0" fontId="1" fillId="2" borderId="29" xfId="0" applyFont="1" applyFill="1" applyBorder="1" applyAlignment="1">
      <alignment horizontal="right"/>
    </xf>
    <xf numFmtId="0" fontId="8" fillId="2" borderId="30" xfId="0" applyFont="1" applyFill="1" applyBorder="1" applyAlignment="1"/>
    <xf numFmtId="0" fontId="18" fillId="2" borderId="0" xfId="0" applyFont="1" applyFill="1" applyBorder="1" applyAlignment="1">
      <alignment vertical="top" wrapText="1"/>
    </xf>
    <xf numFmtId="0" fontId="18" fillId="2" borderId="29" xfId="0" applyFont="1" applyFill="1" applyBorder="1" applyAlignment="1">
      <alignment vertical="top" wrapText="1"/>
    </xf>
    <xf numFmtId="0" fontId="14" fillId="2" borderId="0" xfId="0" applyFont="1" applyFill="1" applyBorder="1"/>
    <xf numFmtId="0" fontId="18" fillId="2" borderId="34" xfId="0" applyFont="1" applyFill="1" applyBorder="1" applyAlignment="1">
      <alignment vertical="top"/>
    </xf>
    <xf numFmtId="0" fontId="19" fillId="0" borderId="36" xfId="0" applyFont="1" applyBorder="1" applyAlignment="1">
      <alignment vertical="center" wrapText="1"/>
    </xf>
    <xf numFmtId="0" fontId="19" fillId="0" borderId="37" xfId="0" applyFont="1" applyBorder="1" applyAlignment="1">
      <alignment vertical="center" wrapText="1"/>
    </xf>
    <xf numFmtId="0" fontId="13" fillId="0" borderId="37" xfId="0" applyFont="1" applyBorder="1" applyAlignment="1">
      <alignment vertical="center" wrapText="1"/>
    </xf>
    <xf numFmtId="0" fontId="13" fillId="0" borderId="38" xfId="0" applyFont="1" applyBorder="1" applyAlignment="1">
      <alignment vertical="center" wrapText="1"/>
    </xf>
    <xf numFmtId="0" fontId="9" fillId="2" borderId="0" xfId="0" applyFont="1" applyFill="1" applyBorder="1" applyAlignment="1">
      <alignment horizontal="center"/>
    </xf>
    <xf numFmtId="0" fontId="0" fillId="0" borderId="0" xfId="0" applyNumberFormat="1"/>
    <xf numFmtId="169" fontId="8" fillId="6" borderId="11" xfId="0" applyNumberFormat="1" applyFont="1" applyFill="1" applyBorder="1" applyAlignment="1"/>
    <xf numFmtId="167" fontId="8" fillId="6" borderId="12" xfId="4" applyNumberFormat="1" applyFont="1" applyFill="1" applyBorder="1" applyAlignment="1">
      <alignment horizontal="center"/>
    </xf>
    <xf numFmtId="0" fontId="8" fillId="2" borderId="0" xfId="0" applyFont="1" applyFill="1" applyBorder="1" applyAlignment="1"/>
    <xf numFmtId="0" fontId="12" fillId="2" borderId="7" xfId="0" applyFont="1" applyFill="1" applyBorder="1" applyAlignment="1">
      <alignment horizontal="center" wrapText="1"/>
    </xf>
    <xf numFmtId="0" fontId="11" fillId="2" borderId="29" xfId="0" applyFont="1" applyFill="1" applyBorder="1" applyAlignment="1">
      <alignment horizontal="center" vertical="center"/>
    </xf>
    <xf numFmtId="165" fontId="8" fillId="6" borderId="1" xfId="1" applyNumberFormat="1" applyFont="1" applyFill="1" applyBorder="1"/>
    <xf numFmtId="165" fontId="8" fillId="6" borderId="2" xfId="1" applyNumberFormat="1" applyFont="1" applyFill="1" applyBorder="1"/>
    <xf numFmtId="165" fontId="8" fillId="6" borderId="3" xfId="1" applyNumberFormat="1" applyFont="1" applyFill="1" applyBorder="1"/>
    <xf numFmtId="0" fontId="12" fillId="2" borderId="49"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12" fillId="2" borderId="50" xfId="0" applyFont="1" applyFill="1" applyBorder="1" applyAlignment="1">
      <alignment horizontal="center" vertical="center" wrapText="1"/>
    </xf>
    <xf numFmtId="165" fontId="8" fillId="6" borderId="20" xfId="1" applyNumberFormat="1" applyFont="1" applyFill="1" applyBorder="1"/>
    <xf numFmtId="164" fontId="8" fillId="3" borderId="32" xfId="0" applyNumberFormat="1" applyFont="1" applyFill="1" applyBorder="1" applyAlignment="1">
      <alignment horizontal="center"/>
    </xf>
    <xf numFmtId="164" fontId="8" fillId="3" borderId="51" xfId="0" applyNumberFormat="1" applyFont="1" applyFill="1" applyBorder="1" applyAlignment="1">
      <alignment horizontal="center"/>
    </xf>
    <xf numFmtId="165" fontId="8" fillId="6" borderId="45" xfId="1" applyNumberFormat="1" applyFont="1" applyFill="1" applyBorder="1"/>
    <xf numFmtId="165" fontId="8" fillId="6" borderId="49" xfId="1" applyNumberFormat="1" applyFont="1" applyFill="1" applyBorder="1"/>
    <xf numFmtId="0" fontId="12" fillId="2" borderId="8" xfId="0" applyFont="1" applyFill="1" applyBorder="1" applyAlignment="1">
      <alignment horizontal="center" vertical="center" wrapText="1"/>
    </xf>
    <xf numFmtId="165" fontId="8" fillId="6" borderId="16" xfId="1" applyNumberFormat="1" applyFont="1" applyFill="1" applyBorder="1"/>
    <xf numFmtId="165" fontId="8" fillId="6" borderId="17" xfId="1" applyNumberFormat="1" applyFont="1" applyFill="1" applyBorder="1"/>
    <xf numFmtId="165" fontId="8" fillId="6" borderId="23" xfId="1" applyNumberFormat="1" applyFont="1" applyFill="1" applyBorder="1"/>
    <xf numFmtId="0" fontId="2" fillId="2" borderId="29" xfId="0" applyFont="1" applyFill="1" applyBorder="1" applyAlignment="1"/>
    <xf numFmtId="0" fontId="12" fillId="2" borderId="7" xfId="0" applyFont="1" applyFill="1" applyBorder="1" applyAlignment="1">
      <alignment wrapText="1"/>
    </xf>
    <xf numFmtId="165" fontId="8" fillId="6" borderId="21" xfId="1" applyNumberFormat="1" applyFont="1" applyFill="1" applyBorder="1" applyAlignment="1">
      <alignment horizontal="right"/>
    </xf>
    <xf numFmtId="165" fontId="8" fillId="6" borderId="2" xfId="1" applyNumberFormat="1" applyFont="1" applyFill="1" applyBorder="1" applyAlignment="1">
      <alignment horizontal="right"/>
    </xf>
    <xf numFmtId="0" fontId="22" fillId="5" borderId="0" xfId="0" applyFont="1" applyFill="1" applyBorder="1" applyAlignment="1">
      <alignment vertical="center" wrapText="1"/>
    </xf>
    <xf numFmtId="0" fontId="21" fillId="5" borderId="0" xfId="0" applyFont="1" applyFill="1" applyBorder="1" applyAlignment="1">
      <alignment vertical="center"/>
    </xf>
    <xf numFmtId="168" fontId="21" fillId="5" borderId="0" xfId="0" applyNumberFormat="1" applyFont="1" applyFill="1" applyBorder="1" applyAlignment="1">
      <alignment horizontal="left" vertical="center"/>
    </xf>
    <xf numFmtId="0" fontId="22" fillId="7" borderId="0" xfId="0" applyFont="1" applyFill="1" applyBorder="1" applyAlignment="1">
      <alignment horizontal="center" vertical="center" wrapText="1"/>
    </xf>
    <xf numFmtId="0" fontId="22" fillId="8" borderId="0" xfId="0" applyFont="1" applyFill="1" applyBorder="1" applyAlignment="1">
      <alignment horizontal="center" vertical="center" wrapText="1"/>
    </xf>
    <xf numFmtId="0" fontId="12" fillId="2" borderId="0" xfId="0" applyFont="1" applyFill="1" applyBorder="1" applyAlignment="1">
      <alignment horizontal="center" wrapText="1"/>
    </xf>
    <xf numFmtId="0" fontId="1" fillId="2" borderId="0" xfId="0" applyFont="1" applyFill="1" applyBorder="1" applyAlignment="1">
      <alignment horizontal="right" wrapText="1"/>
    </xf>
    <xf numFmtId="0" fontId="8" fillId="2" borderId="0" xfId="0" applyFont="1" applyFill="1" applyProtection="1">
      <protection locked="0"/>
    </xf>
    <xf numFmtId="0" fontId="8" fillId="2" borderId="0" xfId="0" applyFont="1" applyFill="1" applyBorder="1" applyProtection="1">
      <protection locked="0"/>
    </xf>
    <xf numFmtId="165" fontId="8" fillId="7" borderId="2" xfId="1" applyNumberFormat="1" applyFont="1" applyFill="1" applyBorder="1" applyAlignment="1" applyProtection="1">
      <alignment horizontal="right"/>
      <protection locked="0"/>
    </xf>
    <xf numFmtId="165" fontId="8" fillId="7" borderId="17" xfId="1" applyNumberFormat="1" applyFont="1" applyFill="1" applyBorder="1" applyAlignment="1" applyProtection="1">
      <alignment horizontal="right"/>
      <protection locked="0"/>
    </xf>
    <xf numFmtId="165" fontId="8" fillId="7" borderId="6" xfId="1" applyNumberFormat="1" applyFont="1" applyFill="1" applyBorder="1" applyAlignment="1" applyProtection="1">
      <alignment horizontal="center"/>
      <protection locked="0"/>
    </xf>
    <xf numFmtId="169" fontId="8" fillId="7" borderId="21" xfId="1" applyNumberFormat="1" applyFont="1" applyFill="1" applyBorder="1" applyAlignment="1" applyProtection="1">
      <alignment horizontal="right"/>
      <protection locked="0"/>
    </xf>
    <xf numFmtId="165" fontId="8" fillId="7" borderId="6" xfId="0" applyNumberFormat="1" applyFont="1" applyFill="1" applyBorder="1" applyAlignment="1" applyProtection="1">
      <alignment horizontal="center"/>
      <protection locked="0"/>
    </xf>
    <xf numFmtId="0" fontId="9" fillId="7" borderId="11" xfId="0" applyFont="1" applyFill="1" applyBorder="1" applyProtection="1">
      <protection locked="0"/>
    </xf>
    <xf numFmtId="0" fontId="9" fillId="7" borderId="11" xfId="0" applyFont="1" applyFill="1" applyBorder="1" applyAlignment="1" applyProtection="1">
      <alignment vertical="center" wrapText="1"/>
      <protection locked="0"/>
    </xf>
    <xf numFmtId="0" fontId="9" fillId="2" borderId="0" xfId="0" applyFont="1" applyFill="1" applyAlignment="1" applyProtection="1">
      <alignment horizontal="right"/>
      <protection locked="0"/>
    </xf>
    <xf numFmtId="0" fontId="9" fillId="2" borderId="0" xfId="0" applyFont="1" applyFill="1" applyBorder="1" applyAlignment="1" applyProtection="1">
      <alignment horizontal="center"/>
      <protection locked="0"/>
    </xf>
    <xf numFmtId="0" fontId="8" fillId="2" borderId="0" xfId="0" applyFont="1" applyFill="1" applyProtection="1"/>
    <xf numFmtId="0" fontId="16" fillId="2" borderId="0" xfId="0" applyFont="1" applyFill="1" applyBorder="1" applyAlignment="1" applyProtection="1"/>
    <xf numFmtId="0" fontId="8" fillId="2" borderId="0" xfId="0" applyFont="1" applyFill="1" applyBorder="1" applyProtection="1"/>
    <xf numFmtId="0" fontId="9" fillId="2" borderId="0" xfId="0" applyFont="1" applyFill="1" applyBorder="1" applyAlignment="1" applyProtection="1"/>
    <xf numFmtId="0" fontId="9" fillId="2" borderId="0" xfId="0" applyFont="1" applyFill="1" applyBorder="1" applyAlignment="1" applyProtection="1">
      <alignment horizontal="right"/>
    </xf>
    <xf numFmtId="0" fontId="8" fillId="2" borderId="0" xfId="0" applyNumberFormat="1" applyFont="1" applyFill="1" applyProtection="1"/>
    <xf numFmtId="0" fontId="8" fillId="2" borderId="0" xfId="0" applyFont="1" applyFill="1" applyBorder="1" applyAlignment="1" applyProtection="1">
      <alignment horizontal="right"/>
    </xf>
    <xf numFmtId="0" fontId="10" fillId="2" borderId="0" xfId="0" applyFont="1" applyFill="1" applyBorder="1" applyProtection="1"/>
    <xf numFmtId="0" fontId="2" fillId="2" borderId="41" xfId="0" applyFont="1" applyFill="1" applyBorder="1" applyAlignment="1" applyProtection="1">
      <alignment horizontal="center"/>
    </xf>
    <xf numFmtId="0" fontId="8" fillId="0" borderId="41" xfId="0" applyFont="1" applyBorder="1" applyAlignment="1" applyProtection="1"/>
    <xf numFmtId="0" fontId="8" fillId="2" borderId="0" xfId="0" applyFont="1" applyFill="1" applyAlignment="1" applyProtection="1">
      <alignment horizontal="right"/>
    </xf>
    <xf numFmtId="0" fontId="9" fillId="2" borderId="0" xfId="0" applyFont="1" applyFill="1" applyAlignment="1" applyProtection="1">
      <alignment horizontal="center"/>
    </xf>
    <xf numFmtId="0" fontId="1" fillId="2" borderId="0" xfId="0" applyFont="1" applyFill="1" applyAlignment="1" applyProtection="1">
      <alignment horizontal="right"/>
    </xf>
    <xf numFmtId="165" fontId="8" fillId="6" borderId="19" xfId="1" applyNumberFormat="1" applyFont="1" applyFill="1" applyBorder="1" applyProtection="1"/>
    <xf numFmtId="165" fontId="8" fillId="6" borderId="42" xfId="0" applyNumberFormat="1" applyFont="1" applyFill="1" applyBorder="1" applyProtection="1"/>
    <xf numFmtId="165" fontId="8" fillId="6" borderId="13" xfId="1" applyNumberFormat="1" applyFont="1" applyFill="1" applyBorder="1" applyProtection="1"/>
    <xf numFmtId="0" fontId="8" fillId="2" borderId="0" xfId="0" applyFont="1" applyFill="1" applyAlignment="1" applyProtection="1">
      <alignment horizontal="left"/>
    </xf>
    <xf numFmtId="165" fontId="8" fillId="6" borderId="43" xfId="1" applyNumberFormat="1" applyFont="1" applyFill="1" applyBorder="1" applyProtection="1"/>
    <xf numFmtId="0" fontId="8" fillId="2" borderId="0" xfId="0" applyFont="1" applyFill="1" applyBorder="1" applyAlignment="1" applyProtection="1"/>
    <xf numFmtId="0" fontId="9" fillId="2" borderId="25" xfId="0" applyFont="1" applyFill="1" applyBorder="1" applyAlignment="1" applyProtection="1">
      <alignment horizontal="center" wrapText="1"/>
    </xf>
    <xf numFmtId="0" fontId="9" fillId="2" borderId="35" xfId="0" applyFont="1" applyFill="1" applyBorder="1" applyAlignment="1" applyProtection="1">
      <alignment horizontal="center" wrapText="1"/>
    </xf>
    <xf numFmtId="0" fontId="8" fillId="2" borderId="5" xfId="0" applyFont="1" applyFill="1" applyBorder="1" applyProtection="1"/>
    <xf numFmtId="0" fontId="9" fillId="2" borderId="6" xfId="0" applyFont="1" applyFill="1" applyBorder="1" applyAlignment="1" applyProtection="1">
      <alignment horizontal="right"/>
    </xf>
    <xf numFmtId="0" fontId="9" fillId="2" borderId="4" xfId="0" applyFont="1" applyFill="1" applyBorder="1" applyAlignment="1" applyProtection="1">
      <alignment horizontal="center" wrapText="1"/>
    </xf>
    <xf numFmtId="0" fontId="8" fillId="2" borderId="11" xfId="0" applyFont="1" applyFill="1" applyBorder="1" applyAlignment="1" applyProtection="1">
      <alignment horizontal="right"/>
    </xf>
    <xf numFmtId="169" fontId="8" fillId="2" borderId="0" xfId="0" applyNumberFormat="1" applyFont="1" applyFill="1" applyAlignment="1" applyProtection="1">
      <alignment horizontal="right"/>
    </xf>
    <xf numFmtId="164" fontId="8" fillId="4" borderId="24" xfId="0" applyNumberFormat="1" applyFont="1" applyFill="1" applyBorder="1" applyAlignment="1" applyProtection="1">
      <alignment horizontal="center"/>
    </xf>
    <xf numFmtId="164" fontId="8" fillId="4" borderId="25" xfId="0" applyNumberFormat="1" applyFont="1" applyFill="1" applyBorder="1" applyAlignment="1" applyProtection="1">
      <alignment horizontal="center"/>
    </xf>
    <xf numFmtId="0" fontId="9" fillId="2" borderId="12" xfId="0" applyFont="1" applyFill="1" applyBorder="1" applyProtection="1"/>
    <xf numFmtId="165" fontId="9" fillId="6" borderId="10" xfId="0" applyNumberFormat="1" applyFont="1" applyFill="1" applyBorder="1" applyAlignment="1" applyProtection="1">
      <alignment horizontal="center"/>
    </xf>
    <xf numFmtId="169" fontId="9" fillId="6" borderId="2" xfId="1" applyNumberFormat="1" applyFont="1" applyFill="1" applyBorder="1" applyAlignment="1" applyProtection="1">
      <alignment horizontal="right"/>
    </xf>
    <xf numFmtId="0" fontId="9" fillId="2" borderId="0" xfId="0" applyFont="1" applyFill="1" applyBorder="1" applyProtection="1"/>
    <xf numFmtId="165" fontId="9" fillId="2" borderId="0" xfId="0" applyNumberFormat="1" applyFont="1" applyFill="1" applyBorder="1" applyAlignment="1" applyProtection="1">
      <alignment horizontal="center"/>
    </xf>
    <xf numFmtId="165" fontId="9" fillId="2" borderId="0" xfId="1" applyNumberFormat="1" applyFont="1" applyFill="1" applyBorder="1" applyAlignment="1" applyProtection="1">
      <alignment horizontal="center"/>
    </xf>
    <xf numFmtId="0" fontId="9" fillId="2" borderId="0" xfId="0" applyFont="1" applyFill="1" applyAlignment="1" applyProtection="1">
      <alignment horizontal="right"/>
    </xf>
    <xf numFmtId="0" fontId="9" fillId="2" borderId="0" xfId="0" applyFont="1" applyFill="1" applyBorder="1" applyAlignment="1" applyProtection="1">
      <alignment horizontal="center"/>
    </xf>
    <xf numFmtId="169" fontId="8" fillId="7" borderId="11" xfId="0" applyNumberFormat="1" applyFont="1" applyFill="1" applyBorder="1" applyAlignment="1" applyProtection="1">
      <protection locked="0"/>
    </xf>
    <xf numFmtId="165" fontId="8" fillId="7" borderId="21" xfId="1" applyNumberFormat="1" applyFont="1" applyFill="1" applyBorder="1" applyAlignment="1" applyProtection="1">
      <alignment horizontal="right"/>
      <protection locked="0"/>
    </xf>
    <xf numFmtId="0" fontId="9" fillId="7" borderId="11" xfId="0" applyFont="1" applyFill="1" applyBorder="1" applyAlignment="1" applyProtection="1">
      <alignment horizontal="left"/>
      <protection locked="0"/>
    </xf>
    <xf numFmtId="0" fontId="9" fillId="7" borderId="47" xfId="0" applyFont="1" applyFill="1" applyBorder="1" applyProtection="1">
      <protection locked="0"/>
    </xf>
    <xf numFmtId="0" fontId="9" fillId="7" borderId="15" xfId="0" applyFont="1" applyFill="1" applyBorder="1" applyAlignment="1" applyProtection="1">
      <alignment horizontal="left"/>
      <protection locked="0"/>
    </xf>
    <xf numFmtId="0" fontId="9" fillId="7" borderId="48" xfId="0" applyFont="1" applyFill="1" applyBorder="1" applyProtection="1">
      <protection locked="0"/>
    </xf>
    <xf numFmtId="165" fontId="8" fillId="7" borderId="10" xfId="1" applyNumberFormat="1" applyFont="1" applyFill="1" applyBorder="1" applyAlignment="1" applyProtection="1">
      <alignment horizontal="center"/>
      <protection locked="0"/>
    </xf>
    <xf numFmtId="165" fontId="8" fillId="7" borderId="44" xfId="1" applyNumberFormat="1" applyFont="1" applyFill="1" applyBorder="1" applyProtection="1">
      <protection locked="0"/>
    </xf>
    <xf numFmtId="165" fontId="8" fillId="7" borderId="11" xfId="1" applyNumberFormat="1" applyFont="1" applyFill="1" applyBorder="1" applyProtection="1">
      <protection locked="0"/>
    </xf>
    <xf numFmtId="165" fontId="8" fillId="7" borderId="47" xfId="1" applyNumberFormat="1" applyFont="1" applyFill="1" applyBorder="1" applyProtection="1">
      <protection locked="0"/>
    </xf>
    <xf numFmtId="165" fontId="8" fillId="7" borderId="21" xfId="1" applyNumberFormat="1" applyFont="1" applyFill="1" applyBorder="1" applyProtection="1">
      <protection locked="0"/>
    </xf>
    <xf numFmtId="165" fontId="8" fillId="7" borderId="45" xfId="1" applyNumberFormat="1" applyFont="1" applyFill="1" applyBorder="1" applyProtection="1">
      <protection locked="0"/>
    </xf>
    <xf numFmtId="165" fontId="8" fillId="7" borderId="15" xfId="1" applyNumberFormat="1" applyFont="1" applyFill="1" applyBorder="1" applyProtection="1">
      <protection locked="0"/>
    </xf>
    <xf numFmtId="165" fontId="8" fillId="7" borderId="48" xfId="1" applyNumberFormat="1" applyFont="1" applyFill="1" applyBorder="1" applyProtection="1">
      <protection locked="0"/>
    </xf>
    <xf numFmtId="165" fontId="8" fillId="7" borderId="2" xfId="1" applyNumberFormat="1" applyFont="1" applyFill="1" applyBorder="1" applyProtection="1">
      <protection locked="0"/>
    </xf>
    <xf numFmtId="165" fontId="8" fillId="6" borderId="21" xfId="1" applyNumberFormat="1" applyFont="1" applyFill="1" applyBorder="1"/>
    <xf numFmtId="0" fontId="8" fillId="2" borderId="0" xfId="0" applyFont="1" applyFill="1" applyAlignment="1" applyProtection="1">
      <alignment horizontal="center"/>
      <protection locked="0"/>
    </xf>
    <xf numFmtId="0" fontId="5" fillId="2" borderId="0" xfId="0" applyNumberFormat="1" applyFont="1" applyFill="1" applyBorder="1" applyAlignment="1" applyProtection="1">
      <protection locked="0"/>
    </xf>
    <xf numFmtId="0" fontId="25" fillId="2" borderId="0" xfId="0" applyFont="1" applyFill="1" applyBorder="1" applyAlignment="1" applyProtection="1">
      <alignment horizontal="left"/>
      <protection locked="0"/>
    </xf>
    <xf numFmtId="0" fontId="9" fillId="2" borderId="0" xfId="0" applyFont="1" applyFill="1" applyBorder="1" applyAlignment="1" applyProtection="1">
      <alignment horizontal="left"/>
      <protection locked="0"/>
    </xf>
    <xf numFmtId="0" fontId="8" fillId="2" borderId="0" xfId="0" applyFont="1" applyFill="1" applyBorder="1" applyAlignment="1" applyProtection="1">
      <alignment horizontal="center"/>
      <protection locked="0"/>
    </xf>
    <xf numFmtId="0" fontId="2" fillId="2" borderId="0" xfId="0" applyFont="1" applyFill="1" applyAlignment="1" applyProtection="1">
      <alignment horizontal="center"/>
      <protection locked="0"/>
    </xf>
    <xf numFmtId="0" fontId="2" fillId="2" borderId="0" xfId="0" applyFont="1" applyFill="1" applyBorder="1" applyAlignment="1" applyProtection="1">
      <protection locked="0"/>
    </xf>
    <xf numFmtId="0" fontId="12" fillId="2" borderId="0" xfId="0" applyFont="1" applyFill="1" applyAlignment="1" applyProtection="1">
      <alignment horizontal="center"/>
      <protection locked="0"/>
    </xf>
    <xf numFmtId="0" fontId="12" fillId="2" borderId="0" xfId="0" applyFont="1" applyFill="1" applyAlignment="1" applyProtection="1">
      <alignment horizontal="center" wrapText="1"/>
      <protection locked="0"/>
    </xf>
    <xf numFmtId="169" fontId="8" fillId="7" borderId="21" xfId="1" applyNumberFormat="1" applyFont="1" applyFill="1" applyBorder="1" applyProtection="1">
      <protection locked="0"/>
    </xf>
    <xf numFmtId="169" fontId="8" fillId="7" borderId="2" xfId="1" applyNumberFormat="1" applyFont="1" applyFill="1" applyBorder="1" applyProtection="1">
      <protection locked="0"/>
    </xf>
    <xf numFmtId="0" fontId="9" fillId="2" borderId="0" xfId="0" applyFont="1" applyFill="1" applyBorder="1" applyAlignment="1" applyProtection="1">
      <alignment horizontal="left" wrapText="1"/>
      <protection locked="0"/>
    </xf>
    <xf numFmtId="0" fontId="8" fillId="2" borderId="7" xfId="0" applyFont="1" applyFill="1" applyBorder="1" applyProtection="1">
      <protection locked="0"/>
    </xf>
    <xf numFmtId="0" fontId="12" fillId="2" borderId="0" xfId="0" applyFont="1" applyFill="1" applyBorder="1" applyAlignment="1" applyProtection="1">
      <alignment horizontal="center" vertical="center" wrapText="1"/>
      <protection locked="0"/>
    </xf>
    <xf numFmtId="0" fontId="9" fillId="2" borderId="0" xfId="0" applyFont="1" applyFill="1" applyProtection="1">
      <protection locked="0"/>
    </xf>
    <xf numFmtId="0" fontId="2" fillId="2" borderId="0" xfId="0" applyFont="1" applyFill="1" applyAlignment="1" applyProtection="1">
      <alignment horizontal="right" wrapText="1"/>
      <protection locked="0"/>
    </xf>
    <xf numFmtId="0" fontId="2" fillId="2" borderId="0" xfId="0" applyFont="1" applyFill="1" applyAlignment="1" applyProtection="1">
      <alignment horizontal="center" wrapText="1"/>
      <protection locked="0"/>
    </xf>
    <xf numFmtId="0" fontId="8" fillId="2" borderId="30" xfId="0" applyFont="1" applyFill="1" applyBorder="1" applyProtection="1">
      <protection locked="0"/>
    </xf>
    <xf numFmtId="0" fontId="8" fillId="2" borderId="33" xfId="0" applyFont="1" applyFill="1" applyBorder="1" applyProtection="1">
      <protection locked="0"/>
    </xf>
    <xf numFmtId="0" fontId="8" fillId="2" borderId="34" xfId="0" applyFont="1" applyFill="1" applyBorder="1" applyProtection="1">
      <protection locked="0"/>
    </xf>
    <xf numFmtId="0" fontId="8" fillId="2" borderId="29" xfId="0" applyFont="1" applyFill="1" applyBorder="1" applyProtection="1">
      <protection locked="0"/>
    </xf>
    <xf numFmtId="0" fontId="8" fillId="2" borderId="12" xfId="0" applyFont="1" applyFill="1" applyBorder="1" applyProtection="1">
      <protection locked="0"/>
    </xf>
    <xf numFmtId="169" fontId="8" fillId="7" borderId="21" xfId="1" applyNumberFormat="1" applyFont="1" applyFill="1" applyBorder="1" applyProtection="1"/>
    <xf numFmtId="169" fontId="8" fillId="7" borderId="10" xfId="1" applyNumberFormat="1" applyFont="1" applyFill="1" applyBorder="1" applyProtection="1"/>
    <xf numFmtId="9" fontId="2" fillId="6" borderId="33" xfId="0" applyNumberFormat="1" applyFont="1" applyFill="1" applyBorder="1" applyAlignment="1">
      <alignment horizontal="center"/>
    </xf>
    <xf numFmtId="0" fontId="1" fillId="6" borderId="6" xfId="0" applyNumberFormat="1" applyFont="1" applyFill="1" applyBorder="1" applyAlignment="1" applyProtection="1">
      <alignment horizontal="center"/>
    </xf>
    <xf numFmtId="0" fontId="1" fillId="6" borderId="21" xfId="0" applyNumberFormat="1" applyFont="1" applyFill="1" applyBorder="1" applyAlignment="1" applyProtection="1">
      <alignment horizontal="center"/>
    </xf>
    <xf numFmtId="165" fontId="1" fillId="6" borderId="21" xfId="1" applyNumberFormat="1" applyFont="1" applyFill="1" applyBorder="1" applyAlignment="1" applyProtection="1">
      <alignment horizontal="right"/>
    </xf>
    <xf numFmtId="0" fontId="1" fillId="6" borderId="10" xfId="0" applyNumberFormat="1" applyFont="1" applyFill="1" applyBorder="1" applyAlignment="1" applyProtection="1">
      <alignment horizontal="center"/>
    </xf>
    <xf numFmtId="0" fontId="1" fillId="6" borderId="2" xfId="0" applyNumberFormat="1" applyFont="1" applyFill="1" applyBorder="1" applyAlignment="1" applyProtection="1">
      <alignment horizontal="center"/>
    </xf>
    <xf numFmtId="165" fontId="1" fillId="6" borderId="2" xfId="1" applyNumberFormat="1" applyFont="1" applyFill="1" applyBorder="1" applyAlignment="1" applyProtection="1">
      <alignment horizontal="center"/>
    </xf>
    <xf numFmtId="0" fontId="2" fillId="6" borderId="0" xfId="0" applyFont="1" applyFill="1" applyBorder="1" applyAlignment="1" applyProtection="1">
      <alignment horizontal="center"/>
    </xf>
    <xf numFmtId="165" fontId="2" fillId="6" borderId="0" xfId="1" applyNumberFormat="1" applyFont="1" applyFill="1" applyBorder="1" applyAlignment="1" applyProtection="1">
      <alignment horizontal="right"/>
    </xf>
    <xf numFmtId="165" fontId="8" fillId="6" borderId="21" xfId="1" applyNumberFormat="1" applyFont="1" applyFill="1" applyBorder="1" applyAlignment="1" applyProtection="1"/>
    <xf numFmtId="165" fontId="8" fillId="6" borderId="2" xfId="1" applyNumberFormat="1" applyFont="1" applyFill="1" applyBorder="1" applyAlignment="1" applyProtection="1"/>
    <xf numFmtId="169" fontId="2" fillId="6" borderId="0" xfId="0" applyNumberFormat="1" applyFont="1" applyFill="1" applyBorder="1" applyAlignment="1" applyProtection="1">
      <alignment horizontal="right"/>
    </xf>
    <xf numFmtId="0" fontId="2" fillId="6" borderId="0" xfId="0" applyFont="1" applyFill="1" applyBorder="1" applyAlignment="1" applyProtection="1">
      <alignment horizontal="right"/>
    </xf>
    <xf numFmtId="0" fontId="1" fillId="6" borderId="6" xfId="0" applyFont="1" applyFill="1" applyBorder="1" applyAlignment="1" applyProtection="1">
      <alignment horizontal="center"/>
    </xf>
    <xf numFmtId="0" fontId="1" fillId="6" borderId="21" xfId="0" applyFont="1" applyFill="1" applyBorder="1" applyAlignment="1" applyProtection="1">
      <alignment horizontal="center"/>
    </xf>
    <xf numFmtId="0" fontId="1" fillId="6" borderId="21" xfId="0" applyFont="1" applyFill="1" applyBorder="1" applyAlignment="1" applyProtection="1">
      <alignment horizontal="right"/>
    </xf>
    <xf numFmtId="0" fontId="1" fillId="6" borderId="10" xfId="0" applyFont="1" applyFill="1" applyBorder="1" applyAlignment="1" applyProtection="1">
      <alignment horizontal="center"/>
    </xf>
    <xf numFmtId="0" fontId="1" fillId="6" borderId="2" xfId="0" applyFont="1" applyFill="1" applyBorder="1" applyAlignment="1" applyProtection="1">
      <alignment horizontal="center"/>
    </xf>
    <xf numFmtId="0" fontId="1" fillId="6" borderId="2" xfId="0" applyFont="1" applyFill="1" applyBorder="1" applyAlignment="1" applyProtection="1">
      <alignment horizontal="right"/>
    </xf>
    <xf numFmtId="165" fontId="1" fillId="6" borderId="2" xfId="1" applyNumberFormat="1" applyFont="1" applyFill="1" applyBorder="1" applyAlignment="1" applyProtection="1">
      <alignment horizontal="right"/>
    </xf>
    <xf numFmtId="0" fontId="8" fillId="6" borderId="0" xfId="0" applyFont="1" applyFill="1" applyProtection="1"/>
    <xf numFmtId="0" fontId="8" fillId="6" borderId="0" xfId="0" applyFont="1" applyFill="1" applyAlignment="1" applyProtection="1">
      <alignment horizontal="center"/>
    </xf>
    <xf numFmtId="1" fontId="1" fillId="6" borderId="22" xfId="0" applyNumberFormat="1" applyFont="1" applyFill="1" applyBorder="1" applyAlignment="1" applyProtection="1">
      <alignment horizontal="right"/>
    </xf>
    <xf numFmtId="1" fontId="1" fillId="6" borderId="17" xfId="0" applyNumberFormat="1" applyFont="1" applyFill="1" applyBorder="1" applyAlignment="1" applyProtection="1">
      <alignment horizontal="right"/>
    </xf>
    <xf numFmtId="0" fontId="1" fillId="7" borderId="47" xfId="0" applyFont="1" applyFill="1" applyBorder="1" applyAlignment="1" applyProtection="1">
      <alignment horizontal="left"/>
      <protection locked="0"/>
    </xf>
    <xf numFmtId="0" fontId="1" fillId="7" borderId="47" xfId="0" applyFont="1" applyFill="1" applyBorder="1" applyAlignment="1" applyProtection="1">
      <alignment horizontal="left" wrapText="1"/>
      <protection locked="0"/>
    </xf>
    <xf numFmtId="0" fontId="9" fillId="7" borderId="47" xfId="0" applyFont="1" applyFill="1" applyBorder="1" applyAlignment="1" applyProtection="1">
      <alignment horizontal="left"/>
      <protection locked="0"/>
    </xf>
    <xf numFmtId="0" fontId="9" fillId="7" borderId="48" xfId="0" applyFont="1" applyFill="1" applyBorder="1" applyAlignment="1" applyProtection="1">
      <alignment horizontal="left"/>
      <protection locked="0"/>
    </xf>
    <xf numFmtId="0" fontId="8" fillId="7" borderId="47" xfId="0" applyFont="1" applyFill="1" applyBorder="1" applyAlignment="1" applyProtection="1">
      <alignment horizontal="left"/>
      <protection locked="0"/>
    </xf>
    <xf numFmtId="0" fontId="7" fillId="2" borderId="0" xfId="3" applyFill="1" applyAlignment="1" applyProtection="1"/>
    <xf numFmtId="3" fontId="8" fillId="6" borderId="12" xfId="0" applyNumberFormat="1" applyFont="1" applyFill="1" applyBorder="1" applyAlignment="1">
      <alignment horizontal="center"/>
    </xf>
    <xf numFmtId="165" fontId="8" fillId="7" borderId="11" xfId="0" applyNumberFormat="1" applyFont="1" applyFill="1" applyBorder="1" applyAlignment="1" applyProtection="1">
      <alignment horizontal="left"/>
      <protection locked="0"/>
    </xf>
    <xf numFmtId="165" fontId="8" fillId="7" borderId="47" xfId="0" applyNumberFormat="1" applyFont="1" applyFill="1" applyBorder="1" applyProtection="1">
      <protection locked="0"/>
    </xf>
    <xf numFmtId="3" fontId="8" fillId="7" borderId="11" xfId="0" applyNumberFormat="1" applyFont="1" applyFill="1" applyBorder="1" applyAlignment="1" applyProtection="1">
      <alignment horizontal="center"/>
      <protection locked="0"/>
    </xf>
    <xf numFmtId="3" fontId="8" fillId="6" borderId="33" xfId="0" applyNumberFormat="1" applyFont="1" applyFill="1" applyBorder="1" applyAlignment="1">
      <alignment horizontal="center"/>
    </xf>
    <xf numFmtId="0" fontId="1" fillId="0" borderId="46" xfId="0" applyFont="1" applyFill="1" applyBorder="1" applyAlignment="1" applyProtection="1">
      <alignment horizontal="left"/>
      <protection locked="0"/>
    </xf>
    <xf numFmtId="165" fontId="8" fillId="0" borderId="6" xfId="1" applyNumberFormat="1" applyFont="1" applyFill="1" applyBorder="1" applyAlignment="1" applyProtection="1">
      <alignment horizontal="center"/>
      <protection locked="0"/>
    </xf>
    <xf numFmtId="165" fontId="8" fillId="0" borderId="1" xfId="1" applyNumberFormat="1" applyFont="1" applyFill="1" applyBorder="1" applyProtection="1">
      <protection locked="0"/>
    </xf>
    <xf numFmtId="165" fontId="8" fillId="0" borderId="1" xfId="1" applyNumberFormat="1" applyFont="1" applyFill="1" applyBorder="1"/>
    <xf numFmtId="0" fontId="8" fillId="0" borderId="0" xfId="0" applyFont="1" applyFill="1"/>
    <xf numFmtId="0" fontId="30" fillId="2" borderId="0" xfId="0" applyFont="1" applyFill="1" applyBorder="1"/>
    <xf numFmtId="0" fontId="7" fillId="0" borderId="52" xfId="3" applyFill="1" applyBorder="1" applyAlignment="1" applyProtection="1">
      <alignment vertical="center"/>
    </xf>
    <xf numFmtId="0" fontId="7" fillId="0" borderId="0" xfId="3" applyFill="1" applyBorder="1" applyAlignment="1" applyProtection="1">
      <alignment vertical="center"/>
    </xf>
    <xf numFmtId="0" fontId="7" fillId="2" borderId="52" xfId="3" applyFill="1" applyBorder="1" applyAlignment="1" applyProtection="1">
      <alignment vertical="center"/>
    </xf>
    <xf numFmtId="0" fontId="7" fillId="2" borderId="0" xfId="3" applyFill="1" applyBorder="1" applyAlignment="1" applyProtection="1">
      <alignment vertical="center"/>
    </xf>
    <xf numFmtId="0" fontId="7" fillId="2" borderId="52" xfId="3" applyFill="1" applyBorder="1" applyAlignment="1" applyProtection="1">
      <alignment horizontal="left" vertical="center" wrapText="1"/>
    </xf>
    <xf numFmtId="0" fontId="7" fillId="2" borderId="0" xfId="3" applyFill="1" applyBorder="1" applyAlignment="1" applyProtection="1">
      <alignment horizontal="left" vertical="center" wrapText="1"/>
    </xf>
    <xf numFmtId="0" fontId="11" fillId="2" borderId="52" xfId="0" applyFont="1" applyFill="1" applyBorder="1" applyAlignment="1">
      <alignment horizontal="center" vertical="center" wrapText="1"/>
    </xf>
    <xf numFmtId="0" fontId="11" fillId="2" borderId="0" xfId="0" applyFont="1" applyFill="1" applyBorder="1" applyAlignment="1">
      <alignment horizontal="center" vertical="center" wrapText="1"/>
    </xf>
    <xf numFmtId="165" fontId="8" fillId="7" borderId="22" xfId="1" applyNumberFormat="1" applyFont="1" applyFill="1" applyBorder="1" applyAlignment="1" applyProtection="1">
      <alignment horizontal="center"/>
      <protection locked="0"/>
    </xf>
    <xf numFmtId="165" fontId="8" fillId="7" borderId="13" xfId="1" applyNumberFormat="1" applyFont="1" applyFill="1" applyBorder="1" applyAlignment="1" applyProtection="1">
      <alignment horizontal="center"/>
      <protection locked="0"/>
    </xf>
    <xf numFmtId="165" fontId="8" fillId="7" borderId="6" xfId="1" applyNumberFormat="1" applyFont="1" applyFill="1" applyBorder="1" applyAlignment="1" applyProtection="1">
      <alignment horizontal="center"/>
      <protection locked="0"/>
    </xf>
    <xf numFmtId="0" fontId="30" fillId="2" borderId="0" xfId="0" applyFont="1" applyFill="1" applyProtection="1">
      <protection locked="0"/>
    </xf>
    <xf numFmtId="0" fontId="7" fillId="2" borderId="0" xfId="3" applyFill="1" applyAlignment="1" applyProtection="1">
      <protection locked="0"/>
    </xf>
    <xf numFmtId="0" fontId="8" fillId="7" borderId="46" xfId="1" applyNumberFormat="1" applyFont="1" applyFill="1" applyBorder="1" applyAlignment="1" applyProtection="1">
      <alignment horizontal="center"/>
      <protection locked="0"/>
    </xf>
    <xf numFmtId="165" fontId="8" fillId="7" borderId="47" xfId="1" applyNumberFormat="1" applyFont="1" applyFill="1" applyBorder="1" applyAlignment="1" applyProtection="1">
      <alignment horizontal="center"/>
      <protection locked="0"/>
    </xf>
    <xf numFmtId="165" fontId="8" fillId="7" borderId="6" xfId="1" applyNumberFormat="1" applyFont="1" applyFill="1" applyBorder="1" applyAlignment="1" applyProtection="1">
      <alignment horizontal="center"/>
      <protection locked="0"/>
    </xf>
    <xf numFmtId="165" fontId="1" fillId="7" borderId="47" xfId="0" applyNumberFormat="1" applyFont="1" applyFill="1" applyBorder="1" applyAlignment="1" applyProtection="1">
      <alignment horizontal="left"/>
      <protection locked="0"/>
    </xf>
    <xf numFmtId="0" fontId="9" fillId="2" borderId="0" xfId="0" applyFont="1" applyFill="1" applyAlignment="1" applyProtection="1">
      <alignment horizontal="left" vertical="top" wrapText="1"/>
    </xf>
    <xf numFmtId="0" fontId="8" fillId="2" borderId="0" xfId="0" applyFont="1" applyFill="1" applyAlignment="1" applyProtection="1">
      <alignment horizontal="left" vertical="top" wrapText="1"/>
      <protection locked="0"/>
    </xf>
    <xf numFmtId="0" fontId="9" fillId="2" borderId="28" xfId="0" applyFont="1" applyFill="1" applyBorder="1" applyAlignment="1" applyProtection="1"/>
    <xf numFmtId="0" fontId="9" fillId="2" borderId="29" xfId="0" applyFont="1" applyFill="1" applyBorder="1" applyAlignment="1" applyProtection="1">
      <alignment horizontal="center"/>
    </xf>
    <xf numFmtId="0" fontId="8" fillId="2" borderId="0" xfId="0" applyFont="1" applyFill="1" applyBorder="1" applyAlignment="1" applyProtection="1">
      <alignment horizontal="right" wrapText="1"/>
    </xf>
    <xf numFmtId="0" fontId="8" fillId="2" borderId="33" xfId="0" applyFont="1" applyFill="1" applyBorder="1" applyAlignment="1" applyProtection="1">
      <alignment horizontal="right" wrapText="1"/>
    </xf>
    <xf numFmtId="0" fontId="9" fillId="6" borderId="18" xfId="0" applyFont="1" applyFill="1" applyBorder="1" applyAlignment="1" applyProtection="1">
      <alignment horizontal="center"/>
    </xf>
    <xf numFmtId="0" fontId="9" fillId="2" borderId="7" xfId="0" applyFont="1" applyFill="1" applyBorder="1" applyAlignment="1" applyProtection="1">
      <alignment horizontal="center"/>
    </xf>
    <xf numFmtId="0" fontId="8" fillId="7" borderId="13" xfId="0" applyFont="1" applyFill="1" applyBorder="1" applyAlignment="1" applyProtection="1">
      <alignment horizontal="left"/>
      <protection locked="0"/>
    </xf>
    <xf numFmtId="0" fontId="7" fillId="7" borderId="14" xfId="3" applyFill="1" applyBorder="1" applyAlignment="1" applyProtection="1">
      <alignment horizontal="left"/>
      <protection locked="0"/>
    </xf>
    <xf numFmtId="0" fontId="8" fillId="7" borderId="14" xfId="0" applyFont="1" applyFill="1" applyBorder="1" applyAlignment="1" applyProtection="1">
      <alignment horizontal="left"/>
      <protection locked="0"/>
    </xf>
    <xf numFmtId="0" fontId="8" fillId="2" borderId="42" xfId="0" applyFont="1" applyFill="1" applyBorder="1" applyAlignment="1" applyProtection="1">
      <alignment horizontal="center"/>
    </xf>
    <xf numFmtId="0" fontId="9" fillId="2" borderId="39" xfId="0" applyFont="1" applyFill="1" applyBorder="1" applyAlignment="1" applyProtection="1">
      <alignment horizontal="center"/>
    </xf>
    <xf numFmtId="0" fontId="9" fillId="7" borderId="13" xfId="0" applyFont="1" applyFill="1" applyBorder="1" applyAlignment="1" applyProtection="1">
      <alignment horizontal="left"/>
      <protection locked="0"/>
    </xf>
    <xf numFmtId="0" fontId="22" fillId="7" borderId="0" xfId="0" applyFont="1" applyFill="1" applyBorder="1" applyAlignment="1" applyProtection="1">
      <alignment horizontal="center" vertical="center" wrapText="1"/>
    </xf>
    <xf numFmtId="0" fontId="22" fillId="8" borderId="0" xfId="0" applyFont="1" applyFill="1" applyBorder="1" applyAlignment="1" applyProtection="1">
      <alignment horizontal="center" vertical="center" wrapText="1"/>
    </xf>
    <xf numFmtId="0" fontId="9" fillId="7" borderId="19" xfId="0" applyFont="1" applyFill="1" applyBorder="1" applyAlignment="1" applyProtection="1">
      <alignment horizontal="center"/>
      <protection locked="0"/>
    </xf>
    <xf numFmtId="0" fontId="9" fillId="2" borderId="40" xfId="0" applyFont="1" applyFill="1" applyBorder="1" applyAlignment="1" applyProtection="1">
      <alignment horizontal="center"/>
    </xf>
    <xf numFmtId="168" fontId="10" fillId="7" borderId="13" xfId="0" applyNumberFormat="1" applyFont="1" applyFill="1" applyBorder="1" applyAlignment="1" applyProtection="1">
      <alignment horizontal="left"/>
      <protection locked="0"/>
    </xf>
    <xf numFmtId="168" fontId="8" fillId="7" borderId="13" xfId="0" applyNumberFormat="1" applyFont="1" applyFill="1" applyBorder="1" applyAlignment="1" applyProtection="1">
      <alignment horizontal="left"/>
      <protection locked="0"/>
    </xf>
    <xf numFmtId="0" fontId="7" fillId="2" borderId="52" xfId="3" applyFill="1" applyBorder="1" applyAlignment="1" applyProtection="1">
      <alignment horizontal="left" vertical="center" wrapText="1"/>
    </xf>
    <xf numFmtId="0" fontId="7" fillId="2" borderId="0" xfId="3" applyFill="1" applyBorder="1" applyAlignment="1" applyProtection="1">
      <alignment horizontal="left" vertical="center" wrapText="1"/>
    </xf>
    <xf numFmtId="0" fontId="11" fillId="2" borderId="52" xfId="0" applyFont="1" applyFill="1" applyBorder="1" applyAlignment="1">
      <alignment horizontal="left" vertical="center" wrapText="1"/>
    </xf>
    <xf numFmtId="0" fontId="11" fillId="2" borderId="0" xfId="0" applyFont="1" applyFill="1" applyBorder="1" applyAlignment="1">
      <alignment horizontal="left" vertical="center" wrapText="1"/>
    </xf>
    <xf numFmtId="0" fontId="11" fillId="2" borderId="52" xfId="0" applyFont="1" applyFill="1" applyBorder="1" applyAlignment="1">
      <alignment horizontal="left" vertical="center"/>
    </xf>
    <xf numFmtId="0" fontId="11" fillId="2" borderId="0" xfId="0" applyFont="1" applyFill="1" applyBorder="1" applyAlignment="1">
      <alignment horizontal="left" vertical="center"/>
    </xf>
    <xf numFmtId="0" fontId="7" fillId="2" borderId="52" xfId="3" applyFill="1" applyBorder="1" applyAlignment="1" applyProtection="1">
      <alignment horizontal="left" vertical="center"/>
    </xf>
    <xf numFmtId="0" fontId="7" fillId="2" borderId="0" xfId="3" applyFill="1" applyBorder="1" applyAlignment="1" applyProtection="1">
      <alignment horizontal="left" vertical="center"/>
    </xf>
    <xf numFmtId="0" fontId="11" fillId="2" borderId="52" xfId="0" applyFont="1" applyFill="1" applyBorder="1" applyAlignment="1">
      <alignment horizontal="center" vertical="center" wrapText="1"/>
    </xf>
    <xf numFmtId="0" fontId="11" fillId="2" borderId="0" xfId="0" applyFont="1" applyFill="1" applyBorder="1" applyAlignment="1">
      <alignment horizontal="center" vertical="center" wrapText="1"/>
    </xf>
    <xf numFmtId="0" fontId="22" fillId="7" borderId="0" xfId="0" applyFont="1" applyFill="1" applyBorder="1" applyAlignment="1">
      <alignment horizontal="center" vertical="center" wrapText="1"/>
    </xf>
    <xf numFmtId="0" fontId="22" fillId="8" borderId="0" xfId="0" applyFont="1" applyFill="1" applyBorder="1" applyAlignment="1">
      <alignment horizontal="center" vertical="center" wrapText="1"/>
    </xf>
    <xf numFmtId="165" fontId="8" fillId="7" borderId="22" xfId="1" applyNumberFormat="1" applyFont="1" applyFill="1" applyBorder="1" applyAlignment="1" applyProtection="1">
      <alignment horizontal="left" wrapText="1"/>
      <protection locked="0"/>
    </xf>
    <xf numFmtId="165" fontId="8" fillId="7" borderId="13" xfId="1" applyNumberFormat="1" applyFont="1" applyFill="1" applyBorder="1" applyAlignment="1" applyProtection="1">
      <alignment horizontal="left" wrapText="1"/>
      <protection locked="0"/>
    </xf>
    <xf numFmtId="165" fontId="8" fillId="7" borderId="6" xfId="1" applyNumberFormat="1" applyFont="1" applyFill="1" applyBorder="1" applyAlignment="1" applyProtection="1">
      <alignment horizontal="left" wrapText="1"/>
      <protection locked="0"/>
    </xf>
    <xf numFmtId="168" fontId="8" fillId="7" borderId="13" xfId="0" applyNumberFormat="1" applyFont="1" applyFill="1" applyBorder="1" applyAlignment="1" applyProtection="1">
      <alignment horizontal="center"/>
      <protection locked="0"/>
    </xf>
    <xf numFmtId="0" fontId="8" fillId="7" borderId="13" xfId="0" applyFont="1" applyFill="1" applyBorder="1" applyAlignment="1" applyProtection="1">
      <alignment horizontal="center"/>
      <protection locked="0"/>
    </xf>
    <xf numFmtId="0" fontId="7" fillId="7" borderId="14" xfId="3" applyFill="1" applyBorder="1" applyAlignment="1" applyProtection="1">
      <alignment horizontal="center"/>
      <protection locked="0"/>
    </xf>
    <xf numFmtId="0" fontId="8" fillId="7" borderId="14" xfId="0" applyFont="1" applyFill="1" applyBorder="1" applyAlignment="1" applyProtection="1">
      <alignment horizontal="center"/>
      <protection locked="0"/>
    </xf>
    <xf numFmtId="0" fontId="9" fillId="0" borderId="31" xfId="0" applyFont="1" applyBorder="1" applyAlignment="1">
      <alignment horizontal="center" wrapText="1"/>
    </xf>
    <xf numFmtId="0" fontId="9" fillId="0" borderId="7" xfId="0" applyFont="1" applyBorder="1" applyAlignment="1">
      <alignment horizontal="center" wrapText="1"/>
    </xf>
    <xf numFmtId="0" fontId="9" fillId="0" borderId="32" xfId="0" applyFont="1" applyBorder="1" applyAlignment="1">
      <alignment horizontal="center" wrapText="1"/>
    </xf>
    <xf numFmtId="0" fontId="9" fillId="2" borderId="31" xfId="0" applyFont="1" applyFill="1" applyBorder="1" applyAlignment="1">
      <alignment horizontal="center"/>
    </xf>
    <xf numFmtId="0" fontId="9" fillId="2" borderId="7" xfId="0" applyFont="1" applyFill="1" applyBorder="1" applyAlignment="1">
      <alignment horizontal="center"/>
    </xf>
    <xf numFmtId="0" fontId="9" fillId="2" borderId="32" xfId="0" applyFont="1" applyFill="1" applyBorder="1" applyAlignment="1">
      <alignment horizontal="center"/>
    </xf>
    <xf numFmtId="165" fontId="8" fillId="7" borderId="17" xfId="1" applyNumberFormat="1" applyFont="1" applyFill="1" applyBorder="1" applyAlignment="1" applyProtection="1">
      <alignment horizontal="center"/>
      <protection locked="0"/>
    </xf>
    <xf numFmtId="165" fontId="8" fillId="7" borderId="14" xfId="1" applyNumberFormat="1" applyFont="1" applyFill="1" applyBorder="1" applyAlignment="1" applyProtection="1">
      <alignment horizontal="center"/>
      <protection locked="0"/>
    </xf>
    <xf numFmtId="165" fontId="8" fillId="7" borderId="10" xfId="1" applyNumberFormat="1" applyFont="1" applyFill="1" applyBorder="1" applyAlignment="1" applyProtection="1">
      <alignment horizontal="center"/>
      <protection locked="0"/>
    </xf>
    <xf numFmtId="165" fontId="8" fillId="7" borderId="22" xfId="1" applyNumberFormat="1" applyFont="1" applyFill="1" applyBorder="1" applyAlignment="1" applyProtection="1">
      <alignment horizontal="center"/>
      <protection locked="0"/>
    </xf>
    <xf numFmtId="165" fontId="8" fillId="7" borderId="13" xfId="1" applyNumberFormat="1" applyFont="1" applyFill="1" applyBorder="1" applyAlignment="1" applyProtection="1">
      <alignment horizontal="center"/>
      <protection locked="0"/>
    </xf>
    <xf numFmtId="165" fontId="8" fillId="7" borderId="6" xfId="1" applyNumberFormat="1" applyFont="1" applyFill="1" applyBorder="1" applyAlignment="1" applyProtection="1">
      <alignment horizontal="center"/>
      <protection locked="0"/>
    </xf>
    <xf numFmtId="165" fontId="8" fillId="0" borderId="16" xfId="1" applyNumberFormat="1" applyFont="1" applyFill="1" applyBorder="1" applyAlignment="1" applyProtection="1">
      <alignment wrapText="1"/>
      <protection locked="0"/>
    </xf>
    <xf numFmtId="165" fontId="8" fillId="0" borderId="19" xfId="1" applyNumberFormat="1" applyFont="1" applyFill="1" applyBorder="1" applyAlignment="1" applyProtection="1">
      <alignment wrapText="1"/>
      <protection locked="0"/>
    </xf>
    <xf numFmtId="165" fontId="8" fillId="0" borderId="9" xfId="1" applyNumberFormat="1" applyFont="1" applyFill="1" applyBorder="1" applyAlignment="1" applyProtection="1">
      <alignment wrapText="1"/>
      <protection locked="0"/>
    </xf>
    <xf numFmtId="165" fontId="8" fillId="7" borderId="22" xfId="1" applyNumberFormat="1" applyFont="1" applyFill="1" applyBorder="1" applyAlignment="1" applyProtection="1">
      <alignment horizontal="center" wrapText="1"/>
      <protection locked="0"/>
    </xf>
    <xf numFmtId="165" fontId="8" fillId="7" borderId="13" xfId="1" applyNumberFormat="1" applyFont="1" applyFill="1" applyBorder="1" applyAlignment="1" applyProtection="1">
      <alignment horizontal="center" wrapText="1"/>
      <protection locked="0"/>
    </xf>
    <xf numFmtId="165" fontId="8" fillId="7" borderId="6" xfId="1" applyNumberFormat="1" applyFont="1" applyFill="1" applyBorder="1" applyAlignment="1" applyProtection="1">
      <alignment horizontal="center" wrapText="1"/>
      <protection locked="0"/>
    </xf>
    <xf numFmtId="0" fontId="1" fillId="2" borderId="0" xfId="0" applyFont="1" applyFill="1" applyBorder="1" applyAlignment="1">
      <alignment horizontal="right" wrapText="1"/>
    </xf>
    <xf numFmtId="0" fontId="9" fillId="6" borderId="9" xfId="0" applyFont="1" applyFill="1" applyBorder="1" applyAlignment="1">
      <alignment horizontal="center"/>
    </xf>
    <xf numFmtId="0" fontId="8" fillId="6" borderId="1" xfId="0" applyFont="1" applyFill="1" applyBorder="1" applyAlignment="1"/>
    <xf numFmtId="0" fontId="8" fillId="6" borderId="16" xfId="0" applyFont="1" applyFill="1" applyBorder="1" applyAlignment="1"/>
    <xf numFmtId="165" fontId="8" fillId="7" borderId="53" xfId="1" applyNumberFormat="1" applyFont="1" applyFill="1" applyBorder="1" applyAlignment="1" applyProtection="1">
      <alignment horizontal="center" vertical="center"/>
      <protection locked="0"/>
    </xf>
    <xf numFmtId="165" fontId="8" fillId="7" borderId="54" xfId="1" applyNumberFormat="1" applyFont="1" applyFill="1" applyBorder="1" applyAlignment="1" applyProtection="1">
      <alignment horizontal="center" vertical="center"/>
      <protection locked="0"/>
    </xf>
    <xf numFmtId="165" fontId="8" fillId="7" borderId="24" xfId="1" applyNumberFormat="1" applyFont="1" applyFill="1" applyBorder="1" applyAlignment="1" applyProtection="1">
      <alignment horizontal="center" vertical="center"/>
      <protection locked="0"/>
    </xf>
    <xf numFmtId="165" fontId="8" fillId="7" borderId="52" xfId="1" applyNumberFormat="1" applyFont="1" applyFill="1" applyBorder="1" applyAlignment="1" applyProtection="1">
      <alignment horizontal="center" vertical="center"/>
      <protection locked="0"/>
    </xf>
    <xf numFmtId="165" fontId="8" fillId="7" borderId="0" xfId="1" applyNumberFormat="1" applyFont="1" applyFill="1" applyBorder="1" applyAlignment="1" applyProtection="1">
      <alignment horizontal="center" vertical="center"/>
      <protection locked="0"/>
    </xf>
    <xf numFmtId="165" fontId="8" fillId="7" borderId="55" xfId="1" applyNumberFormat="1" applyFont="1" applyFill="1" applyBorder="1" applyAlignment="1" applyProtection="1">
      <alignment horizontal="center" vertical="center"/>
      <protection locked="0"/>
    </xf>
    <xf numFmtId="165" fontId="8" fillId="7" borderId="35" xfId="1" applyNumberFormat="1" applyFont="1" applyFill="1" applyBorder="1" applyAlignment="1" applyProtection="1">
      <alignment horizontal="center" vertical="center"/>
      <protection locked="0"/>
    </xf>
    <xf numFmtId="165" fontId="8" fillId="7" borderId="5" xfId="1" applyNumberFormat="1" applyFont="1" applyFill="1" applyBorder="1" applyAlignment="1" applyProtection="1">
      <alignment horizontal="center" vertical="center"/>
      <protection locked="0"/>
    </xf>
    <xf numFmtId="165" fontId="8" fillId="7" borderId="25" xfId="1" applyNumberFormat="1" applyFont="1" applyFill="1" applyBorder="1" applyAlignment="1" applyProtection="1">
      <alignment horizontal="center" vertical="center"/>
      <protection locked="0"/>
    </xf>
    <xf numFmtId="0" fontId="9" fillId="2" borderId="10" xfId="0" applyFont="1" applyFill="1" applyBorder="1" applyAlignment="1">
      <alignment horizontal="center"/>
    </xf>
    <xf numFmtId="0" fontId="8" fillId="2" borderId="2" xfId="0" applyFont="1" applyFill="1" applyBorder="1" applyAlignment="1">
      <alignment horizontal="center"/>
    </xf>
    <xf numFmtId="0" fontId="8" fillId="2" borderId="17" xfId="0" applyFont="1" applyFill="1" applyBorder="1" applyAlignment="1">
      <alignment horizontal="center"/>
    </xf>
    <xf numFmtId="0" fontId="12" fillId="2" borderId="0" xfId="0" applyFont="1" applyFill="1" applyBorder="1" applyAlignment="1">
      <alignment horizontal="center" wrapText="1"/>
    </xf>
    <xf numFmtId="0" fontId="12" fillId="2" borderId="29" xfId="0" applyFont="1" applyFill="1" applyBorder="1" applyAlignment="1">
      <alignment horizontal="center" wrapText="1"/>
    </xf>
    <xf numFmtId="0" fontId="12" fillId="2" borderId="18" xfId="0" applyFont="1" applyFill="1" applyBorder="1" applyAlignment="1">
      <alignment horizontal="center"/>
    </xf>
    <xf numFmtId="0" fontId="28" fillId="2" borderId="0" xfId="0" applyFont="1" applyFill="1" applyBorder="1" applyAlignment="1">
      <alignment horizontal="left"/>
    </xf>
    <xf numFmtId="0" fontId="2" fillId="2" borderId="0" xfId="0" applyFont="1" applyFill="1" applyAlignment="1">
      <alignment horizontal="center" wrapText="1"/>
    </xf>
    <xf numFmtId="0" fontId="2" fillId="2" borderId="29" xfId="0" applyFont="1" applyFill="1" applyBorder="1" applyAlignment="1">
      <alignment horizontal="center" wrapText="1"/>
    </xf>
    <xf numFmtId="0" fontId="12" fillId="2" borderId="0" xfId="0" applyFont="1" applyFill="1" applyBorder="1" applyAlignment="1">
      <alignment horizontal="center"/>
    </xf>
    <xf numFmtId="0" fontId="9" fillId="2" borderId="31" xfId="0" applyFont="1" applyFill="1" applyBorder="1" applyAlignment="1" applyProtection="1">
      <alignment horizontal="center" wrapText="1"/>
      <protection locked="0"/>
    </xf>
    <xf numFmtId="0" fontId="9" fillId="2" borderId="7" xfId="0" applyFont="1" applyFill="1" applyBorder="1" applyAlignment="1" applyProtection="1">
      <alignment horizontal="center" wrapText="1"/>
      <protection locked="0"/>
    </xf>
    <xf numFmtId="0" fontId="9" fillId="2" borderId="32" xfId="0" applyFont="1" applyFill="1" applyBorder="1" applyAlignment="1" applyProtection="1">
      <alignment horizontal="center" wrapText="1"/>
      <protection locked="0"/>
    </xf>
    <xf numFmtId="0" fontId="22" fillId="7" borderId="0" xfId="0" applyFont="1" applyFill="1" applyBorder="1" applyAlignment="1" applyProtection="1">
      <alignment horizontal="center" vertical="center" wrapText="1"/>
      <protection locked="0"/>
    </xf>
    <xf numFmtId="0" fontId="22" fillId="8" borderId="0" xfId="0" applyFont="1" applyFill="1" applyBorder="1" applyAlignment="1" applyProtection="1">
      <alignment horizontal="center" vertical="center" wrapText="1"/>
      <protection locked="0"/>
    </xf>
    <xf numFmtId="0" fontId="9" fillId="6" borderId="9" xfId="0" applyFont="1" applyFill="1" applyBorder="1" applyAlignment="1" applyProtection="1">
      <alignment horizontal="center"/>
    </xf>
    <xf numFmtId="0" fontId="8" fillId="6" borderId="1" xfId="0" applyFont="1" applyFill="1" applyBorder="1" applyAlignment="1" applyProtection="1"/>
    <xf numFmtId="0" fontId="8" fillId="6" borderId="16" xfId="0" applyFont="1" applyFill="1" applyBorder="1" applyAlignment="1" applyProtection="1"/>
    <xf numFmtId="0" fontId="9" fillId="6" borderId="10" xfId="0" applyFont="1" applyFill="1" applyBorder="1" applyAlignment="1" applyProtection="1">
      <alignment horizontal="center"/>
    </xf>
    <xf numFmtId="0" fontId="8" fillId="6" borderId="2" xfId="0" applyFont="1" applyFill="1" applyBorder="1" applyAlignment="1" applyProtection="1">
      <alignment horizontal="center"/>
    </xf>
    <xf numFmtId="0" fontId="8" fillId="6" borderId="17" xfId="0" applyFont="1" applyFill="1" applyBorder="1" applyAlignment="1" applyProtection="1">
      <alignment horizontal="center"/>
    </xf>
    <xf numFmtId="0" fontId="12" fillId="2" borderId="29" xfId="0" applyFont="1" applyFill="1" applyBorder="1" applyAlignment="1" applyProtection="1">
      <alignment horizontal="center"/>
      <protection locked="0"/>
    </xf>
    <xf numFmtId="0" fontId="30" fillId="2" borderId="0" xfId="0" applyFont="1" applyFill="1" applyAlignment="1" applyProtection="1">
      <alignment horizontal="left" wrapText="1"/>
      <protection locked="0"/>
    </xf>
  </cellXfs>
  <cellStyles count="5">
    <cellStyle name="Comma" xfId="1" builtinId="3"/>
    <cellStyle name="Currency" xfId="2" builtinId="4"/>
    <cellStyle name="Hyperlink" xfId="3" builtinId="8"/>
    <cellStyle name="Normal" xfId="0" builtinId="0"/>
    <cellStyle name="Percent" xfId="4"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hyperlink" Target="http://www.snopud.com/Site/Content/Documents/finance/AR_2015_web.pdf" TargetMode="Externa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0</xdr:col>
      <xdr:colOff>19050</xdr:colOff>
      <xdr:row>11</xdr:row>
      <xdr:rowOff>19050</xdr:rowOff>
    </xdr:from>
    <xdr:to>
      <xdr:col>4</xdr:col>
      <xdr:colOff>571500</xdr:colOff>
      <xdr:row>69</xdr:row>
      <xdr:rowOff>95250</xdr:rowOff>
    </xdr:to>
    <xdr:sp macro="" textlink="">
      <xdr:nvSpPr>
        <xdr:cNvPr id="2" name="TextBox 1"/>
        <xdr:cNvSpPr txBox="1"/>
      </xdr:nvSpPr>
      <xdr:spPr>
        <a:xfrm>
          <a:off x="19050" y="2162175"/>
          <a:ext cx="11391900" cy="11125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b="1">
              <a:effectLst/>
            </a:rPr>
            <a:t>RCW 19.285.070</a:t>
          </a:r>
        </a:p>
        <a:p>
          <a:r>
            <a:rPr lang="en-US" b="1">
              <a:effectLst/>
            </a:rPr>
            <a:t>Reporting and public disclosure.</a:t>
          </a:r>
        </a:p>
        <a:p>
          <a:r>
            <a:rPr lang="en-US" baseline="0">
              <a:effectLst/>
            </a:rPr>
            <a:t>     </a:t>
          </a:r>
          <a:r>
            <a:rPr lang="en-US">
              <a:effectLst/>
            </a:rPr>
            <a:t>(1) On or before June 1, 2012, and annually thereafter, each qualifying utility shall report to the department on its progress in the preceding year in meeting the targets established in RCW </a:t>
          </a:r>
          <a:r>
            <a:rPr lang="en-US">
              <a:effectLst/>
              <a:hlinkClick xmlns:r="http://schemas.openxmlformats.org/officeDocument/2006/relationships" r:id=""/>
            </a:rPr>
            <a:t>19.285.040</a:t>
          </a:r>
          <a:r>
            <a:rPr lang="en-US">
              <a:effectLst/>
            </a:rPr>
            <a:t>, including expected electricity savings from the biennial conservation target, expenditures on conservation, actual electricity savings results, the utility's annual load for the prior two years, the amount of megawatt-hours needed to meet the annual renewable energy target, the amount of megawatt-hours of each type of eligible renewable resource acquired, the type and amount of renewable energy credits acquired, and the percent of its total annual retail revenue requirement invested in the incremental cost of eligible renewable resources and the cost of renewable energy credits. For each year that a qualifying utility elects to demonstrate alternative compliance under RCW </a:t>
          </a:r>
          <a:r>
            <a:rPr lang="en-US">
              <a:effectLst/>
              <a:hlinkClick xmlns:r="http://schemas.openxmlformats.org/officeDocument/2006/relationships" r:id=""/>
            </a:rPr>
            <a:t>19.285.040</a:t>
          </a:r>
          <a:r>
            <a:rPr lang="en-US">
              <a:effectLst/>
            </a:rPr>
            <a:t>(2) (d) or (i) or </a:t>
          </a:r>
          <a:r>
            <a:rPr lang="en-US">
              <a:effectLst/>
              <a:hlinkClick xmlns:r="http://schemas.openxmlformats.org/officeDocument/2006/relationships" r:id=""/>
            </a:rPr>
            <a:t>19.285.050</a:t>
          </a:r>
          <a:r>
            <a:rPr lang="en-US">
              <a:effectLst/>
            </a:rPr>
            <a:t>(1), it must include in its annual report relevant data to demonstrate that it met the criteria in that section. A qualifying utility may submit its report to the department in conjunction with its annual obligations in chapter </a:t>
          </a:r>
          <a:r>
            <a:rPr lang="en-US">
              <a:effectLst/>
              <a:hlinkClick xmlns:r="http://schemas.openxmlformats.org/officeDocument/2006/relationships" r:id=""/>
            </a:rPr>
            <a:t>19.29A</a:t>
          </a:r>
          <a:r>
            <a:rPr lang="en-US">
              <a:effectLst/>
            </a:rPr>
            <a:t> RCW.</a:t>
          </a:r>
        </a:p>
        <a:p>
          <a:r>
            <a:rPr lang="en-US">
              <a:effectLst/>
            </a:rPr>
            <a:t>     (2) A qualifying utility that is an investor-owned utility shall also report all information required in subsection (1) of this section to the commission, and all other qualifying utilities shall also make all information required in subsection (1) of this section available to the auditor.</a:t>
          </a:r>
        </a:p>
        <a:p>
          <a:r>
            <a:rPr lang="en-US">
              <a:effectLst/>
            </a:rPr>
            <a:t>     (3) A qualifying utility shall also make reports required in this section available to its customers.</a:t>
          </a:r>
        </a:p>
        <a:p>
          <a:endParaRPr lang="en-US" b="1">
            <a:effectLst/>
          </a:endParaRPr>
        </a:p>
        <a:p>
          <a:r>
            <a:rPr lang="en-US" b="1">
              <a:effectLst/>
            </a:rPr>
            <a:t>WAC 194-37-060</a:t>
          </a:r>
        </a:p>
        <a:p>
          <a:r>
            <a:rPr lang="en-US" b="1">
              <a:effectLst/>
            </a:rPr>
            <a:t>Conservation reporting requirements.</a:t>
          </a:r>
        </a:p>
        <a:p>
          <a:r>
            <a:rPr lang="en-US">
              <a:effectLst/>
            </a:rPr>
            <a:t>     Each utility shall submit an annual conservation report to the department by June 1st using a form provided by the department. The conservation report must show the utility's progress in the preceding year in meeting the conservation targets established in RCW </a:t>
          </a:r>
          <a:r>
            <a:rPr lang="en-US">
              <a:effectLst/>
              <a:hlinkClick xmlns:r="http://schemas.openxmlformats.org/officeDocument/2006/relationships" r:id=""/>
            </a:rPr>
            <a:t>19.285.040</a:t>
          </a:r>
          <a:r>
            <a:rPr lang="en-US">
              <a:effectLst/>
            </a:rPr>
            <a:t> and must include the following:</a:t>
          </a:r>
        </a:p>
        <a:p>
          <a:r>
            <a:rPr lang="en-US">
              <a:effectLst/>
            </a:rPr>
            <a:t>     (1) The total electricity savings and expenditures for conservation by the following sectors: Residential, commercial, industrial, agricultural, distribution system, and production system. A utility may report results achieved through nonutility programs, as identified in WAC </a:t>
          </a:r>
          <a:r>
            <a:rPr lang="en-US">
              <a:effectLst/>
              <a:hlinkClick xmlns:r="http://schemas.openxmlformats.org/officeDocument/2006/relationships" r:id=""/>
            </a:rPr>
            <a:t>194-37-080</a:t>
          </a:r>
          <a:r>
            <a:rPr lang="en-US">
              <a:effectLst/>
            </a:rPr>
            <a:t>(5), by program, if the results are not included in the reported results by customer sector. Reports submitted in odd-numbered years must include an estimate of savings and expenditures in the prior year. Reports submitted in even-numbered years must include the amount of savings and expenditures in the prior two years. All savings must be documented pursuant to WAC </a:t>
          </a:r>
          <a:r>
            <a:rPr lang="en-US">
              <a:effectLst/>
              <a:hlinkClick xmlns:r="http://schemas.openxmlformats.org/officeDocument/2006/relationships" r:id=""/>
            </a:rPr>
            <a:t>194-37-080</a:t>
          </a:r>
          <a:r>
            <a:rPr lang="en-US">
              <a:effectLst/>
            </a:rPr>
            <a:t>.</a:t>
          </a:r>
        </a:p>
        <a:p>
          <a:r>
            <a:rPr lang="en-US">
              <a:effectLst/>
            </a:rPr>
            <a:t>     (2) A brief description of the methodology used to establish the utility's ten-year potential and biennial target to capture cost-effective conservation.</a:t>
          </a:r>
        </a:p>
        <a:p>
          <a:r>
            <a:rPr lang="en-US">
              <a:effectLst/>
            </a:rPr>
            <a:t>     (3) In even-numbered years the report must include the utility's ten-year conservation potential and biennial targets established pursuant to WAC </a:t>
          </a:r>
          <a:r>
            <a:rPr lang="en-US">
              <a:effectLst/>
              <a:hlinkClick xmlns:r="http://schemas.openxmlformats.org/officeDocument/2006/relationships" r:id=""/>
            </a:rPr>
            <a:t>194-37-070</a:t>
          </a:r>
          <a:r>
            <a:rPr lang="en-US">
              <a:effectLst/>
            </a:rPr>
            <a:t>.</a:t>
          </a:r>
        </a:p>
        <a:p>
          <a:endParaRPr lang="en-US" sz="1100"/>
        </a:p>
        <a:p>
          <a:r>
            <a:rPr lang="en-US" b="1">
              <a:effectLst/>
            </a:rPr>
            <a:t>WAC 194-37-110</a:t>
          </a:r>
        </a:p>
        <a:p>
          <a:r>
            <a:rPr lang="en-US" b="1">
              <a:effectLst/>
            </a:rPr>
            <a:t>Renewable resource energy reporting.</a:t>
          </a:r>
        </a:p>
        <a:p>
          <a:r>
            <a:rPr lang="en-US">
              <a:effectLst/>
            </a:rPr>
            <a:t>     Each utility must submit a renewable resource energy report to the department by June 1st of each year using a form provided by the department. The report must reflect the actions that the utility took by the previous January 1st to meet the renewable requirements of chapter </a:t>
          </a:r>
          <a:r>
            <a:rPr lang="en-US">
              <a:effectLst/>
              <a:hlinkClick xmlns:r="http://schemas.openxmlformats.org/officeDocument/2006/relationships" r:id=""/>
            </a:rPr>
            <a:t>19.285</a:t>
          </a:r>
          <a:r>
            <a:rPr lang="en-US">
              <a:effectLst/>
            </a:rPr>
            <a:t> RCW for that year. For example, a utility must report by June 1, 2015, the actions it took by January 1, 2015, to meet requirements applicable to the 2015 target year.</a:t>
          </a:r>
        </a:p>
        <a:p>
          <a:r>
            <a:rPr lang="en-US" baseline="0">
              <a:effectLst/>
            </a:rPr>
            <a:t>     </a:t>
          </a:r>
          <a:r>
            <a:rPr lang="en-US">
              <a:effectLst/>
            </a:rPr>
            <a:t>(1) </a:t>
          </a:r>
          <a:r>
            <a:rPr lang="en-US" b="1">
              <a:effectLst/>
            </a:rPr>
            <a:t>Reporting requirements applicable to all utilities.</a:t>
          </a:r>
          <a:r>
            <a:rPr lang="en-US">
              <a:effectLst/>
            </a:rPr>
            <a:t> Each utility must report the following information:</a:t>
          </a:r>
        </a:p>
        <a:p>
          <a:r>
            <a:rPr lang="en-US">
              <a:effectLst/>
            </a:rPr>
            <a:t>     (a) The compliance method:</a:t>
          </a:r>
        </a:p>
        <a:p>
          <a:r>
            <a:rPr lang="en-US">
              <a:effectLst/>
            </a:rPr>
            <a:t>          (i) Renewable energy target using renewable resources and RECs – RCW </a:t>
          </a:r>
          <a:r>
            <a:rPr lang="en-US">
              <a:effectLst/>
              <a:hlinkClick xmlns:r="http://schemas.openxmlformats.org/officeDocument/2006/relationships" r:id=""/>
            </a:rPr>
            <a:t>19.285.040</a:t>
          </a:r>
          <a:r>
            <a:rPr lang="en-US">
              <a:effectLst/>
            </a:rPr>
            <a:t> (2)(a);</a:t>
          </a:r>
        </a:p>
        <a:p>
          <a:r>
            <a:rPr lang="en-US">
              <a:effectLst/>
            </a:rPr>
            <a:t>          (ii) Incremental cost – RCW </a:t>
          </a:r>
          <a:r>
            <a:rPr lang="en-US">
              <a:effectLst/>
              <a:hlinkClick xmlns:r="http://schemas.openxmlformats.org/officeDocument/2006/relationships" r:id=""/>
            </a:rPr>
            <a:t>19.285.050</a:t>
          </a:r>
          <a:r>
            <a:rPr lang="en-US">
              <a:effectLst/>
            </a:rPr>
            <a:t>; or</a:t>
          </a:r>
        </a:p>
        <a:p>
          <a:r>
            <a:rPr lang="en-US">
              <a:effectLst/>
            </a:rPr>
            <a:t>          (iii) No-growth cost – RCW </a:t>
          </a:r>
          <a:r>
            <a:rPr lang="en-US">
              <a:effectLst/>
              <a:hlinkClick xmlns:r="http://schemas.openxmlformats.org/officeDocument/2006/relationships" r:id=""/>
            </a:rPr>
            <a:t>19.285.040</a:t>
          </a:r>
          <a:r>
            <a:rPr lang="en-US">
              <a:effectLst/>
            </a:rPr>
            <a:t> (2)(d).</a:t>
          </a:r>
        </a:p>
        <a:p>
          <a:r>
            <a:rPr lang="en-US">
              <a:effectLst/>
            </a:rPr>
            <a:t>     (b) The utility's load for the two years preceding the target year and the average load for those two years.</a:t>
          </a:r>
        </a:p>
        <a:p>
          <a:r>
            <a:rPr lang="en-US">
              <a:effectLst/>
            </a:rPr>
            <a:t>     (c) The utility's renewable energy target for the target year.</a:t>
          </a:r>
        </a:p>
        <a:p>
          <a:r>
            <a:rPr lang="en-US">
              <a:effectLst/>
            </a:rPr>
            <a:t>     (d) The amount of eligible renewable resources, RECs, and multiplier credits to be applied toward the utility's renewable energy target for the target year. The report must identify, by generating facility or hydroelectric project, including the WREGIS generating unit identification where applicable, and, in the case of RECs, by vintage year:</a:t>
          </a:r>
        </a:p>
        <a:p>
          <a:r>
            <a:rPr lang="en-US">
              <a:effectLst/>
            </a:rPr>
            <a:t>          (i) The eligible renewable resources in megawatt-hours to be applied toward the renewable energy target for the target year;</a:t>
          </a:r>
        </a:p>
        <a:p>
          <a:r>
            <a:rPr lang="en-US">
              <a:effectLst/>
            </a:rPr>
            <a:t>         (ii) The RECs to be applied toward the renewable energy target for the target year;</a:t>
          </a:r>
        </a:p>
        <a:p>
          <a:r>
            <a:rPr lang="en-US">
              <a:effectLst/>
            </a:rPr>
            <a:t>         (iii) Any additional credit for eligible renewable resources or RECs from generating facilities eligible for the apprentice labor provision in RCW </a:t>
          </a:r>
          <a:r>
            <a:rPr lang="en-US">
              <a:effectLst/>
              <a:hlinkClick xmlns:r="http://schemas.openxmlformats.org/officeDocument/2006/relationships" r:id=""/>
            </a:rPr>
            <a:t>19.285.040</a:t>
          </a:r>
          <a:r>
            <a:rPr lang="en-US">
              <a:effectLst/>
            </a:rPr>
            <a:t> (2)(h), applied toward the renewable energy target for the target year;</a:t>
          </a:r>
        </a:p>
        <a:p>
          <a:r>
            <a:rPr lang="en-US">
              <a:effectLst/>
            </a:rPr>
            <a:t>          (iv) Any additional credit for RECs from generating facilities eligible for the distributed generation in RCW </a:t>
          </a:r>
          <a:r>
            <a:rPr lang="en-US">
              <a:effectLst/>
              <a:hlinkClick xmlns:r="http://schemas.openxmlformats.org/officeDocument/2006/relationships" r:id=""/>
            </a:rPr>
            <a:t>19.285.040</a:t>
          </a:r>
          <a:r>
            <a:rPr lang="en-US">
              <a:effectLst/>
            </a:rPr>
            <a:t> (2)(b), applied toward the renewable energy target for the target year.</a:t>
          </a:r>
        </a:p>
        <a:p>
          <a:r>
            <a:rPr lang="en-US">
              <a:effectLst/>
            </a:rPr>
            <a:t>     (e) The percent of its total annual retail revenue requirement invested in the incremental cost of eligible renewable resources and the cost of renewable energy credits. Each utility must include in its report documentation of the calculations and inputs to this amount.</a:t>
          </a:r>
        </a:p>
        <a:p>
          <a:r>
            <a:rPr lang="en-US">
              <a:effectLst/>
            </a:rPr>
            <a:t>     (2) </a:t>
          </a:r>
          <a:r>
            <a:rPr lang="en-US" b="1">
              <a:effectLst/>
            </a:rPr>
            <a:t>Incremental cost compliance method report.</a:t>
          </a:r>
          <a:r>
            <a:rPr lang="en-US">
              <a:effectLst/>
            </a:rPr>
            <a:t> Each utility reporting pursuant to subsection (1)(a) of this section its use of the incremental cost compliance method for the target year must include the following information in its report:</a:t>
          </a:r>
        </a:p>
        <a:p>
          <a:r>
            <a:rPr lang="en-US">
              <a:effectLst/>
            </a:rPr>
            <a:t>     (a) Annual revenue requirement for the target year;</a:t>
          </a:r>
        </a:p>
        <a:p>
          <a:r>
            <a:rPr lang="en-US">
              <a:effectLst/>
            </a:rPr>
            <a:t>     (b) The annual levelized delivered cost of its eligible renewable resource(s) reported separately for each resource;</a:t>
          </a:r>
        </a:p>
        <a:p>
          <a:r>
            <a:rPr lang="en-US">
              <a:effectLst/>
            </a:rPr>
            <a:t>     (c) The annual levelized delivered cost of its substitute resources and the eligible renewable resource with which it is being compared;</a:t>
          </a:r>
        </a:p>
        <a:p>
          <a:r>
            <a:rPr lang="en-US">
              <a:effectLst/>
            </a:rPr>
            <a:t>     (d) The total cost of renewable energy credits to be applied in the reporting year;</a:t>
          </a:r>
        </a:p>
        <a:p>
          <a:r>
            <a:rPr lang="en-US">
              <a:effectLst/>
            </a:rPr>
            <a:t>     (e) The percentage of its annual revenue requirement invested in the incremental cost of eligible renewable resources and the cost of RECs; and</a:t>
          </a:r>
        </a:p>
        <a:p>
          <a:r>
            <a:rPr lang="en-US">
              <a:effectLst/>
            </a:rPr>
            <a:t>     (f) The most current information required by WAC </a:t>
          </a:r>
          <a:r>
            <a:rPr lang="en-US">
              <a:effectLst/>
              <a:hlinkClick xmlns:r="http://schemas.openxmlformats.org/officeDocument/2006/relationships" r:id=""/>
            </a:rPr>
            <a:t>194-37-160</a:t>
          </a:r>
          <a:r>
            <a:rPr lang="en-US">
              <a:effectLst/>
            </a:rPr>
            <a:t> used for this financial demonstration.</a:t>
          </a:r>
        </a:p>
        <a:p>
          <a:r>
            <a:rPr lang="en-US">
              <a:effectLst/>
            </a:rPr>
            <a:t>     (3) </a:t>
          </a:r>
          <a:r>
            <a:rPr lang="en-US" b="1">
              <a:effectLst/>
            </a:rPr>
            <a:t>No-growth cost compliance method report.</a:t>
          </a:r>
          <a:r>
            <a:rPr lang="en-US">
              <a:effectLst/>
            </a:rPr>
            <a:t> Each utility reporting pursuant to subsection (1)(a) of this section its use of the no-growth cost compliance method for the target year must include the following information in its report:</a:t>
          </a:r>
        </a:p>
        <a:p>
          <a:r>
            <a:rPr lang="en-US">
              <a:effectLst/>
            </a:rPr>
            <a:t>     (a) Annual revenue requirement for the target year;</a:t>
          </a:r>
        </a:p>
        <a:p>
          <a:r>
            <a:rPr lang="en-US">
              <a:effectLst/>
            </a:rPr>
            <a:t>     (b) Actual and weather-adjusted load for each year used in determining that the utility's load did not increase;</a:t>
          </a:r>
        </a:p>
        <a:p>
          <a:r>
            <a:rPr lang="en-US">
              <a:effectLst/>
            </a:rPr>
            <a:t>     (c) Delivered cost of its eligible renewable resource(s), RECs or a combination of both for the target year to be applied to the one percent of annual revenue requirement, reported separately for each resource;</a:t>
          </a:r>
        </a:p>
        <a:p>
          <a:r>
            <a:rPr lang="en-US">
              <a:effectLst/>
            </a:rPr>
            <a:t>     (d) Generating facility identification, vintage, quantity and cost of any RECs to be retired as an offset for nonrenewable resource purchases pursuant to RCW </a:t>
          </a:r>
          <a:r>
            <a:rPr lang="en-US">
              <a:effectLst/>
              <a:hlinkClick xmlns:r="http://schemas.openxmlformats.org/officeDocument/2006/relationships" r:id=""/>
            </a:rPr>
            <a:t>19.285.040</a:t>
          </a:r>
          <a:r>
            <a:rPr lang="en-US">
              <a:effectLst/>
            </a:rPr>
            <a:t> (2)(d).</a:t>
          </a:r>
        </a:p>
        <a:p>
          <a:r>
            <a:rPr lang="en-US">
              <a:effectLst/>
            </a:rPr>
            <a:t>     (4) </a:t>
          </a:r>
          <a:r>
            <a:rPr lang="en-US" b="1">
              <a:effectLst/>
            </a:rPr>
            <a:t>Final compliance report.</a:t>
          </a:r>
          <a:r>
            <a:rPr lang="en-US">
              <a:effectLst/>
            </a:rPr>
            <a:t> A utility must submit a final renewable compliance report by the later of (a) two years after the filing of the report required in subsections (1) through (3) of this section; or (b) ninety days after the issuance of the auditor's report for the target year. The final renewable compliance report must provide an update of any revisions to the information previously reported pursuant to this section or, if no revisions were made, notify the department that the initial report should be considered the final report. For any target year that a utility demonstrates to the auditor that it did not meet the annual renewable resource requirements in chapter </a:t>
          </a:r>
          <a:r>
            <a:rPr lang="en-US">
              <a:effectLst/>
              <a:hlinkClick xmlns:r="http://schemas.openxmlformats.org/officeDocument/2006/relationships" r:id=""/>
            </a:rPr>
            <a:t>19.285</a:t>
          </a:r>
          <a:r>
            <a:rPr lang="en-US">
              <a:effectLst/>
            </a:rPr>
            <a:t> RCW due to events beyond the reasonable control of the utility per RCW </a:t>
          </a:r>
          <a:r>
            <a:rPr lang="en-US">
              <a:effectLst/>
              <a:hlinkClick xmlns:r="http://schemas.openxmlformats.org/officeDocument/2006/relationships" r:id=""/>
            </a:rPr>
            <a:t>19.285.040</a:t>
          </a:r>
          <a:r>
            <a:rPr lang="en-US">
              <a:effectLst/>
            </a:rPr>
            <a:t> (2)(i), the utility must summarize these events in the final compliance report.</a:t>
          </a:r>
        </a:p>
        <a:p>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247650</xdr:colOff>
      <xdr:row>17</xdr:row>
      <xdr:rowOff>361950</xdr:rowOff>
    </xdr:from>
    <xdr:to>
      <xdr:col>8</xdr:col>
      <xdr:colOff>552450</xdr:colOff>
      <xdr:row>25</xdr:row>
      <xdr:rowOff>180975</xdr:rowOff>
    </xdr:to>
    <xdr:sp macro="" textlink="">
      <xdr:nvSpPr>
        <xdr:cNvPr id="2" name="TextBox 1"/>
        <xdr:cNvSpPr txBox="1"/>
      </xdr:nvSpPr>
      <xdr:spPr>
        <a:xfrm>
          <a:off x="6962775" y="3876675"/>
          <a:ext cx="1123950" cy="15430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i="1"/>
            <a:t>Note: Expenditure</a:t>
          </a:r>
          <a:r>
            <a:rPr lang="en-US" sz="1100" i="1" baseline="0"/>
            <a:t> amounts do not include any customer or other non-utility costs.</a:t>
          </a:r>
          <a:endParaRPr lang="en-US" sz="1100" i="1"/>
        </a:p>
      </xdr:txBody>
    </xdr:sp>
    <xdr:clientData/>
  </xdr:twoCellAnchor>
  <xdr:twoCellAnchor>
    <xdr:from>
      <xdr:col>0</xdr:col>
      <xdr:colOff>38100</xdr:colOff>
      <xdr:row>35</xdr:row>
      <xdr:rowOff>352425</xdr:rowOff>
    </xdr:from>
    <xdr:to>
      <xdr:col>8</xdr:col>
      <xdr:colOff>695325</xdr:colOff>
      <xdr:row>36</xdr:row>
      <xdr:rowOff>3409950</xdr:rowOff>
    </xdr:to>
    <xdr:sp macro="" textlink="">
      <xdr:nvSpPr>
        <xdr:cNvPr id="3" name="TextBox 2"/>
        <xdr:cNvSpPr txBox="1"/>
      </xdr:nvSpPr>
      <xdr:spPr>
        <a:xfrm>
          <a:off x="38100" y="7639050"/>
          <a:ext cx="8191500" cy="3419475"/>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solidFill>
                <a:schemeClr val="dk1"/>
              </a:solidFill>
              <a:effectLst/>
              <a:latin typeface="+mn-lt"/>
              <a:ea typeface="+mn-ea"/>
              <a:cs typeface="+mn-cs"/>
            </a:rPr>
            <a:t>In establishing the 2014-2015 biennial conservation targets, the District used the utility specific analysis option allowed in WAC 194-37-070.  The District’s Conservation Potential Assessment methodology (Appendix H in the District’s 2013 IRP) is consistent with the Northwest Power and Conservation Council methodology.  It provides an up-to-date estimate of conservation potential based on the best available information and considers the unique characteristics of the District’s service area and customer make up.  </a:t>
          </a:r>
          <a:endParaRPr lang="en-US">
            <a:effectLst/>
          </a:endParaRPr>
        </a:p>
        <a:p>
          <a:r>
            <a:rPr lang="en-US" sz="1100">
              <a:solidFill>
                <a:schemeClr val="dk1"/>
              </a:solidFill>
              <a:effectLst/>
              <a:latin typeface="+mn-lt"/>
              <a:ea typeface="+mn-ea"/>
              <a:cs typeface="+mn-cs"/>
            </a:rPr>
            <a:t> </a:t>
          </a:r>
          <a:endParaRPr lang="en-US">
            <a:effectLst/>
          </a:endParaRPr>
        </a:p>
        <a:p>
          <a:r>
            <a:rPr lang="en-US" sz="1100">
              <a:solidFill>
                <a:schemeClr val="dk1"/>
              </a:solidFill>
              <a:effectLst/>
              <a:latin typeface="+mn-lt"/>
              <a:ea typeface="+mn-ea"/>
              <a:cs typeface="+mn-cs"/>
            </a:rPr>
            <a:t>The District’s 2014-2015 energy conservation targets have been described, explained and reviewed in a larger discussion concerning the District’s 2013 Integrated Resource Plan (IRP) during an August 6, 2013 public meeting by the Snohomish County PUD Board of Commissioners.  Staff’s recommendation for 2014-2015 conservation targets was subsequently reviewed at a second noticed public meeting of the Board of Commissioners and the 2014-2015 targets were adopted by the Board in Resolution No. 5655 in a public meeting on November 19, 2013.   A copy of the resolution is </a:t>
          </a:r>
          <a:r>
            <a:rPr lang="en-US" sz="1100">
              <a:solidFill>
                <a:sysClr val="windowText" lastClr="000000"/>
              </a:solidFill>
              <a:effectLst/>
              <a:latin typeface="+mn-lt"/>
              <a:ea typeface="+mn-ea"/>
              <a:cs typeface="+mn-cs"/>
            </a:rPr>
            <a:t>embedded below</a:t>
          </a:r>
          <a:r>
            <a:rPr lang="en-US" sz="1100">
              <a:solidFill>
                <a:schemeClr val="dk1"/>
              </a:solidFill>
              <a:effectLst/>
              <a:latin typeface="+mn-lt"/>
              <a:ea typeface="+mn-ea"/>
              <a:cs typeface="+mn-cs"/>
            </a:rPr>
            <a:t>.  The published notice for the November 19, 2013 meeting identified that adoption of the targets was on the agenda.   </a:t>
          </a:r>
          <a:endParaRPr lang="en-US">
            <a:effectLst/>
          </a:endParaRPr>
        </a:p>
        <a:p>
          <a:r>
            <a:rPr lang="en-US" sz="1100">
              <a:solidFill>
                <a:schemeClr val="dk1"/>
              </a:solidFill>
              <a:effectLst/>
              <a:latin typeface="+mn-lt"/>
              <a:ea typeface="+mn-ea"/>
              <a:cs typeface="+mn-cs"/>
            </a:rPr>
            <a:t>  </a:t>
          </a:r>
          <a:endParaRPr lang="en-US">
            <a:effectLst/>
          </a:endParaRPr>
        </a:p>
        <a:p>
          <a:r>
            <a:rPr lang="en-US" sz="1100">
              <a:solidFill>
                <a:schemeClr val="dk1"/>
              </a:solidFill>
              <a:effectLst/>
              <a:latin typeface="+mn-lt"/>
              <a:ea typeface="+mn-ea"/>
              <a:cs typeface="+mn-cs"/>
            </a:rPr>
            <a:t>As a result of the 2013 IRP analysis, the District’s 2014-15 biennial target for compliance with the EIA is 13.3 aMW (busbar).  The biennial target for 2014-2015 is recognized to be at the portfolio level in order to allow the greatest flexibility for capturing market opportunities in any sector, with any customer, when and where it becomes available.  The associated ten-year conservation potential target is identified as 73.1 aMW (busbar).</a:t>
          </a:r>
          <a:endParaRPr lang="en-US">
            <a:effectLst/>
          </a:endParaRPr>
        </a:p>
        <a:p>
          <a:endParaRPr lang="en-US" sz="1100"/>
        </a:p>
        <a:p>
          <a:r>
            <a:rPr lang="en-US" sz="1100"/>
            <a:t>Please note that 2014 NEEA savings have increased since the progress</a:t>
          </a:r>
          <a:r>
            <a:rPr lang="en-US" sz="1100" baseline="0"/>
            <a:t> report submitted in 2015. The change is</a:t>
          </a:r>
          <a:r>
            <a:rPr lang="en-US" sz="1100"/>
            <a:t> due to</a:t>
          </a:r>
          <a:r>
            <a:rPr lang="en-US" sz="1100" baseline="0"/>
            <a:t> savings updates received from NEEA and BPA after the June 1, 2015 deadline for the progress report.</a:t>
          </a:r>
          <a:endParaRPr lang="en-US" sz="1100"/>
        </a:p>
      </xdr:txBody>
    </xdr:sp>
    <xdr:clientData/>
  </xdr:twoCellAnchor>
  <mc:AlternateContent xmlns:mc="http://schemas.openxmlformats.org/markup-compatibility/2006">
    <mc:Choice xmlns:a14="http://schemas.microsoft.com/office/drawing/2010/main" Requires="a14">
      <xdr:twoCellAnchor editAs="oneCell">
        <xdr:from>
          <xdr:col>1</xdr:col>
          <xdr:colOff>28575</xdr:colOff>
          <xdr:row>40</xdr:row>
          <xdr:rowOff>38100</xdr:rowOff>
        </xdr:from>
        <xdr:to>
          <xdr:col>1</xdr:col>
          <xdr:colOff>942975</xdr:colOff>
          <xdr:row>44</xdr:row>
          <xdr:rowOff>76200</xdr:rowOff>
        </xdr:to>
        <xdr:sp macro="" textlink="">
          <xdr:nvSpPr>
            <xdr:cNvPr id="9217" name="Object 1" hidden="1">
              <a:extLst>
                <a:ext uri="{63B3BB69-23CF-44E3-9099-C40C66FF867C}">
                  <a14:compatExt spid="_x0000_s9217"/>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0</xdr:colOff>
      <xdr:row>95</xdr:row>
      <xdr:rowOff>123822</xdr:rowOff>
    </xdr:from>
    <xdr:to>
      <xdr:col>13</xdr:col>
      <xdr:colOff>638175</xdr:colOff>
      <xdr:row>126</xdr:row>
      <xdr:rowOff>142874</xdr:rowOff>
    </xdr:to>
    <xdr:sp macro="" textlink="">
      <xdr:nvSpPr>
        <xdr:cNvPr id="3" name="TextBox 2">
          <a:hlinkClick xmlns:r="http://schemas.openxmlformats.org/officeDocument/2006/relationships" r:id="rId1"/>
        </xdr:cNvPr>
        <xdr:cNvSpPr txBox="1"/>
      </xdr:nvSpPr>
      <xdr:spPr>
        <a:xfrm>
          <a:off x="0" y="20526372"/>
          <a:ext cx="11430000" cy="5038727"/>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solidFill>
                <a:schemeClr val="dk1"/>
              </a:solidFill>
              <a:effectLst/>
              <a:latin typeface="+mn-lt"/>
              <a:ea typeface="+mn-ea"/>
              <a:cs typeface="+mn-cs"/>
            </a:rPr>
            <a:t>A) "Compliance</a:t>
          </a:r>
          <a:r>
            <a:rPr lang="en-US" sz="1100" b="1" baseline="0">
              <a:solidFill>
                <a:schemeClr val="dk1"/>
              </a:solidFill>
              <a:effectLst/>
              <a:latin typeface="+mn-lt"/>
              <a:ea typeface="+mn-ea"/>
              <a:cs typeface="+mn-cs"/>
            </a:rPr>
            <a:t> Method" </a:t>
          </a:r>
          <a:r>
            <a:rPr lang="en-US" sz="1100" b="0" baseline="0">
              <a:solidFill>
                <a:schemeClr val="dk1"/>
              </a:solidFill>
              <a:effectLst/>
              <a:latin typeface="+mn-lt"/>
              <a:ea typeface="+mn-ea"/>
              <a:cs typeface="+mn-cs"/>
            </a:rPr>
            <a:t>- For purposes of the 2016 Mid-Year Report, Snohomish County PUD is filing under the cost cap methodology. However, the PUD will explore the target methodology to see if there are cost advantages of using that methodology.</a:t>
          </a:r>
          <a:endParaRPr lang="en-US" sz="1100" b="0">
            <a:solidFill>
              <a:schemeClr val="dk1"/>
            </a:solidFill>
            <a:effectLst/>
            <a:latin typeface="+mn-lt"/>
            <a:ea typeface="+mn-ea"/>
            <a:cs typeface="+mn-cs"/>
          </a:endParaRPr>
        </a:p>
        <a:p>
          <a:r>
            <a:rPr lang="en-US" sz="1100" b="1">
              <a:solidFill>
                <a:schemeClr val="dk1"/>
              </a:solidFill>
              <a:effectLst/>
              <a:latin typeface="+mn-lt"/>
              <a:ea typeface="+mn-ea"/>
              <a:cs typeface="+mn-cs"/>
            </a:rPr>
            <a:t>B) "Annual Loads" </a:t>
          </a:r>
          <a:r>
            <a:rPr lang="en-US" sz="1100" b="0">
              <a:solidFill>
                <a:schemeClr val="dk1"/>
              </a:solidFill>
              <a:effectLst/>
              <a:latin typeface="+mn-lt"/>
              <a:ea typeface="+mn-ea"/>
              <a:cs typeface="+mn-cs"/>
            </a:rPr>
            <a:t>are </a:t>
          </a:r>
          <a:r>
            <a:rPr lang="en-US" sz="1100">
              <a:solidFill>
                <a:schemeClr val="dk1"/>
              </a:solidFill>
              <a:effectLst/>
              <a:latin typeface="+mn-lt"/>
              <a:ea typeface="+mn-ea"/>
              <a:cs typeface="+mn-cs"/>
            </a:rPr>
            <a:t>from</a:t>
          </a:r>
          <a:r>
            <a:rPr lang="en-US" sz="1100" baseline="0">
              <a:solidFill>
                <a:schemeClr val="dk1"/>
              </a:solidFill>
              <a:effectLst/>
              <a:latin typeface="+mn-lt"/>
              <a:ea typeface="+mn-ea"/>
              <a:cs typeface="+mn-cs"/>
            </a:rPr>
            <a:t> Snohomish County PUD No. 1's 2015 Annual Report (p.24). Annual Retail Sales are computed by taking total MWhs sold less wholesale power sales.  Snohomish's 2015 Annual Report is available at: </a:t>
          </a:r>
          <a:r>
            <a:rPr lang="en-US" sz="1100" u="sng" baseline="0">
              <a:solidFill>
                <a:schemeClr val="accent1"/>
              </a:solidFill>
              <a:effectLst/>
              <a:latin typeface="+mn-lt"/>
              <a:ea typeface="+mn-ea"/>
              <a:cs typeface="+mn-cs"/>
            </a:rPr>
            <a:t>2015 Annual Report</a:t>
          </a:r>
        </a:p>
        <a:p>
          <a:r>
            <a:rPr lang="en-US" sz="1100" b="1" baseline="0">
              <a:solidFill>
                <a:schemeClr val="dk1"/>
              </a:solidFill>
              <a:effectLst/>
              <a:latin typeface="+mn-lt"/>
              <a:ea typeface="+mn-ea"/>
              <a:cs typeface="+mn-cs"/>
            </a:rPr>
            <a:t>C) "Total Annual Retail Revenue Requirement"</a:t>
          </a:r>
          <a:r>
            <a:rPr lang="en-US" sz="1100" baseline="0">
              <a:solidFill>
                <a:schemeClr val="dk1"/>
              </a:solidFill>
              <a:effectLst/>
              <a:latin typeface="+mn-lt"/>
              <a:ea typeface="+mn-ea"/>
              <a:cs typeface="+mn-cs"/>
            </a:rPr>
            <a:t> per Snohomish PUD's Electric System 2016 Adopted Budget for Energy/Water Retail Sales, approved by Resolution No. 5759 dated Dec. 15, 2015, contained in Attachment A (zip file).</a:t>
          </a:r>
          <a:endParaRPr lang="en-US">
            <a:effectLst/>
          </a:endParaRPr>
        </a:p>
        <a:p>
          <a:r>
            <a:rPr lang="en-US" sz="1100" b="1" baseline="0">
              <a:solidFill>
                <a:sysClr val="windowText" lastClr="000000"/>
              </a:solidFill>
              <a:effectLst/>
              <a:latin typeface="+mn-lt"/>
              <a:ea typeface="+mn-ea"/>
              <a:cs typeface="+mn-cs"/>
            </a:rPr>
            <a:t>D) "Renewable Resources" table </a:t>
          </a:r>
          <a:r>
            <a:rPr lang="en-US" sz="1100" b="0" baseline="0">
              <a:solidFill>
                <a:sysClr val="windowText" lastClr="000000"/>
              </a:solidFill>
              <a:effectLst/>
              <a:latin typeface="+mn-lt"/>
              <a:ea typeface="+mn-ea"/>
              <a:cs typeface="+mn-cs"/>
            </a:rPr>
            <a:t>(p.2)</a:t>
          </a:r>
          <a:r>
            <a:rPr lang="en-US" sz="1100" b="1" baseline="0">
              <a:solidFill>
                <a:sysClr val="windowText" lastClr="000000"/>
              </a:solidFill>
              <a:effectLst/>
              <a:latin typeface="+mn-lt"/>
              <a:ea typeface="+mn-ea"/>
              <a:cs typeface="+mn-cs"/>
            </a:rPr>
            <a:t> </a:t>
          </a:r>
          <a:r>
            <a:rPr lang="en-US" sz="1100" b="0" baseline="0">
              <a:solidFill>
                <a:sysClr val="windowText" lastClr="000000"/>
              </a:solidFill>
              <a:effectLst/>
              <a:latin typeface="+mn-lt"/>
              <a:ea typeface="+mn-ea"/>
              <a:cs typeface="+mn-cs"/>
            </a:rPr>
            <a:t>includes renewable resources Snohomish PUD has acquired/contracted for prior to January 1, 2016.  Megawatt hour production for 2016 includes actual metered generation through March 2016 and forecast production </a:t>
          </a:r>
          <a:r>
            <a:rPr lang="en-US" sz="1100" baseline="0">
              <a:solidFill>
                <a:sysClr val="windowText" lastClr="000000"/>
              </a:solidFill>
              <a:effectLst/>
              <a:latin typeface="+mn-lt"/>
              <a:ea typeface="+mn-ea"/>
              <a:cs typeface="+mn-cs"/>
            </a:rPr>
            <a:t>for the April through December 2016 period.</a:t>
          </a:r>
          <a:r>
            <a:rPr lang="en-US" sz="1100" b="0" baseline="0">
              <a:solidFill>
                <a:sysClr val="windowText" lastClr="000000"/>
              </a:solidFill>
              <a:effectLst/>
              <a:latin typeface="+mn-lt"/>
              <a:ea typeface="+mn-ea"/>
              <a:cs typeface="+mn-cs"/>
            </a:rPr>
            <a:t> </a:t>
          </a:r>
        </a:p>
        <a:p>
          <a:r>
            <a:rPr lang="en-US" sz="1100" b="1" baseline="0">
              <a:solidFill>
                <a:schemeClr val="dk1"/>
              </a:solidFill>
              <a:effectLst/>
              <a:latin typeface="+mn-lt"/>
              <a:ea typeface="+mn-ea"/>
              <a:cs typeface="+mn-cs"/>
            </a:rPr>
            <a:t>E) "Woods Creek Hydroelectric Project"</a:t>
          </a:r>
          <a:r>
            <a:rPr lang="en-US" sz="1100" b="0" baseline="0">
              <a:solidFill>
                <a:schemeClr val="dk1"/>
              </a:solidFill>
              <a:effectLst/>
              <a:latin typeface="+mn-lt"/>
              <a:ea typeface="+mn-ea"/>
              <a:cs typeface="+mn-cs"/>
            </a:rPr>
            <a:t> (p.2) </a:t>
          </a:r>
          <a:r>
            <a:rPr lang="en-US" sz="1100" baseline="0">
              <a:solidFill>
                <a:schemeClr val="dk1"/>
              </a:solidFill>
              <a:effectLst/>
              <a:latin typeface="+mn-lt"/>
              <a:ea typeface="+mn-ea"/>
              <a:cs typeface="+mn-cs"/>
            </a:rPr>
            <a:t>reflects the incremental electricity produced by the 0.65 megawatt (MW) Woods Creek Hydroelectric Project located in Snohomish County, WA.</a:t>
          </a:r>
          <a:endParaRPr lang="en-US">
            <a:solidFill>
              <a:sysClr val="windowText" lastClr="000000"/>
            </a:solidFill>
            <a:effectLst/>
          </a:endParaRPr>
        </a:p>
        <a:p>
          <a:pPr marL="0" marR="0" indent="0" defTabSz="914400" eaLnBrk="1" fontAlgn="auto" latinLnBrk="0" hangingPunct="1">
            <a:lnSpc>
              <a:spcPct val="100000"/>
            </a:lnSpc>
            <a:spcBef>
              <a:spcPts val="0"/>
            </a:spcBef>
            <a:spcAft>
              <a:spcPts val="0"/>
            </a:spcAft>
            <a:buClrTx/>
            <a:buSzTx/>
            <a:buFontTx/>
            <a:buNone/>
            <a:tabLst/>
            <a:defRPr/>
          </a:pPr>
          <a:r>
            <a:rPr lang="en-US" sz="1100" b="1" baseline="0">
              <a:solidFill>
                <a:sysClr val="windowText" lastClr="000000"/>
              </a:solidFill>
              <a:effectLst/>
              <a:latin typeface="+mn-lt"/>
              <a:ea typeface="+mn-ea"/>
              <a:cs typeface="+mn-cs"/>
            </a:rPr>
            <a:t>F) "Renewable Energy Credits" table </a:t>
          </a:r>
          <a:r>
            <a:rPr lang="en-US" sz="1100" b="0" baseline="0">
              <a:solidFill>
                <a:sysClr val="windowText" lastClr="000000"/>
              </a:solidFill>
              <a:effectLst/>
              <a:latin typeface="+mn-lt"/>
              <a:ea typeface="+mn-ea"/>
              <a:cs typeface="+mn-cs"/>
            </a:rPr>
            <a:t>(p.3) with vintage 2016 includes: 1) forecast EIA-eligible BPA Tier 1 System RECs and 2) forecast RECs from: Snohomish PUD's Solar Express Program, Hampton Biomass and the Qualco bio-digester plus </a:t>
          </a:r>
          <a:r>
            <a:rPr lang="en-US" sz="1100" b="1" i="1" baseline="0">
              <a:solidFill>
                <a:sysClr val="windowText" lastClr="000000"/>
              </a:solidFill>
              <a:effectLst/>
              <a:latin typeface="+mn-lt"/>
              <a:ea typeface="+mn-ea"/>
              <a:cs typeface="+mn-cs"/>
            </a:rPr>
            <a:t>their Distributed Generation equivalents</a:t>
          </a:r>
          <a:r>
            <a:rPr lang="en-US" sz="1100" b="0" baseline="0">
              <a:solidFill>
                <a:sysClr val="windowText" lastClr="000000"/>
              </a:solidFill>
              <a:effectLst/>
              <a:latin typeface="+mn-lt"/>
              <a:ea typeface="+mn-ea"/>
              <a:cs typeface="+mn-cs"/>
            </a:rPr>
            <a:t>.  </a:t>
          </a:r>
          <a:r>
            <a:rPr lang="en-US" sz="1100" b="0" baseline="0">
              <a:solidFill>
                <a:schemeClr val="dk1"/>
              </a:solidFill>
              <a:effectLst/>
              <a:latin typeface="+mn-lt"/>
              <a:ea typeface="+mn-ea"/>
              <a:cs typeface="+mn-cs"/>
            </a:rPr>
            <a:t>Megawatt hour production for 2016 includes actual metered generation through March 2016 and forecast production </a:t>
          </a:r>
          <a:r>
            <a:rPr lang="en-US" sz="1100" baseline="0">
              <a:solidFill>
                <a:schemeClr val="dk1"/>
              </a:solidFill>
              <a:effectLst/>
              <a:latin typeface="+mn-lt"/>
              <a:ea typeface="+mn-ea"/>
              <a:cs typeface="+mn-cs"/>
            </a:rPr>
            <a:t>for the April through December 2016 period.</a:t>
          </a:r>
          <a:r>
            <a:rPr lang="en-US" sz="1100" b="0" baseline="0">
              <a:solidFill>
                <a:schemeClr val="dk1"/>
              </a:solidFill>
              <a:effectLst/>
              <a:latin typeface="+mn-lt"/>
              <a:ea typeface="+mn-ea"/>
              <a:cs typeface="+mn-cs"/>
            </a:rPr>
            <a:t>  2015 Vintage </a:t>
          </a:r>
          <a:r>
            <a:rPr lang="en-US" sz="1100" b="0" baseline="0">
              <a:solidFill>
                <a:sysClr val="windowText" lastClr="000000"/>
              </a:solidFill>
              <a:effectLst/>
              <a:latin typeface="+mn-lt"/>
              <a:ea typeface="+mn-ea"/>
              <a:cs typeface="+mn-cs"/>
            </a:rPr>
            <a:t>RECs are noted and carried over from </a:t>
          </a:r>
          <a:r>
            <a:rPr lang="en-US" sz="1100" b="0" baseline="0">
              <a:solidFill>
                <a:schemeClr val="dk1"/>
              </a:solidFill>
              <a:effectLst/>
              <a:latin typeface="+mn-lt"/>
              <a:ea typeface="+mn-ea"/>
              <a:cs typeface="+mn-cs"/>
            </a:rPr>
            <a:t>BPA EIA-eligible Tier 1 System, </a:t>
          </a:r>
          <a:r>
            <a:rPr lang="en-US" sz="1100" b="0" baseline="0">
              <a:solidFill>
                <a:sysClr val="windowText" lastClr="000000"/>
              </a:solidFill>
              <a:effectLst/>
              <a:latin typeface="+mn-lt"/>
              <a:ea typeface="+mn-ea"/>
              <a:cs typeface="+mn-cs"/>
            </a:rPr>
            <a:t>H.W. Hill Landfill Gas, the Hay Canyon, White Creek and Wheat Field wind projects, and the </a:t>
          </a:r>
          <a:r>
            <a:rPr lang="en-US" sz="1100" b="0" baseline="0">
              <a:solidFill>
                <a:schemeClr val="dk1"/>
              </a:solidFill>
              <a:effectLst/>
              <a:latin typeface="+mn-lt"/>
              <a:ea typeface="+mn-ea"/>
              <a:cs typeface="+mn-cs"/>
            </a:rPr>
            <a:t>Hampton Biomass, Qualco bio-digester and </a:t>
          </a:r>
          <a:r>
            <a:rPr lang="en-US" sz="1100" b="0" baseline="0">
              <a:solidFill>
                <a:sysClr val="windowText" lastClr="000000"/>
              </a:solidFill>
              <a:effectLst/>
              <a:latin typeface="+mn-lt"/>
              <a:ea typeface="+mn-ea"/>
              <a:cs typeface="+mn-cs"/>
            </a:rPr>
            <a:t>Solar Express projects plus </a:t>
          </a:r>
          <a:r>
            <a:rPr lang="en-US" sz="1100" b="1" i="1" baseline="0">
              <a:solidFill>
                <a:sysClr val="windowText" lastClr="000000"/>
              </a:solidFill>
              <a:effectLst/>
              <a:latin typeface="+mn-lt"/>
              <a:ea typeface="+mn-ea"/>
              <a:cs typeface="+mn-cs"/>
            </a:rPr>
            <a:t>their associated Distributed Generation equivalents</a:t>
          </a:r>
          <a:r>
            <a:rPr lang="en-US" sz="1100" b="0" baseline="0">
              <a:solidFill>
                <a:sysClr val="windowText" lastClr="000000"/>
              </a:solidFill>
              <a:effectLst/>
              <a:latin typeface="+mn-lt"/>
              <a:ea typeface="+mn-ea"/>
              <a:cs typeface="+mn-cs"/>
            </a:rPr>
            <a:t>.</a:t>
          </a:r>
        </a:p>
        <a:p>
          <a:r>
            <a:rPr lang="en-US" sz="1100" b="1" baseline="0">
              <a:solidFill>
                <a:sysClr val="windowText" lastClr="000000"/>
              </a:solidFill>
              <a:effectLst/>
              <a:latin typeface="+mn-lt"/>
              <a:ea typeface="+mn-ea"/>
              <a:cs typeface="+mn-cs"/>
            </a:rPr>
            <a:t>G) "H.W. Hill Landfill Gas Power Plant" </a:t>
          </a:r>
          <a:r>
            <a:rPr lang="en-US" sz="1100" b="0" baseline="0">
              <a:solidFill>
                <a:sysClr val="windowText" lastClr="000000"/>
              </a:solidFill>
              <a:effectLst/>
              <a:latin typeface="+mn-lt"/>
              <a:ea typeface="+mn-ea"/>
              <a:cs typeface="+mn-cs"/>
            </a:rPr>
            <a:t>(p.3) refers to a landfill gas generation facility located in Klickitat County, Washington. Snohomish purchases 19.05% of the energy and RECs through a long-term power purchase agreement (PPA) that was executed in 2008 and expired October 2015.</a:t>
          </a:r>
          <a:endParaRPr lang="en-US" sz="1100" b="1" baseline="0">
            <a:solidFill>
              <a:sysClr val="windowText" lastClr="000000"/>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1" baseline="0">
              <a:solidFill>
                <a:schemeClr val="dk1"/>
              </a:solidFill>
              <a:effectLst/>
              <a:latin typeface="+mn-lt"/>
              <a:ea typeface="+mn-ea"/>
              <a:cs typeface="+mn-cs"/>
            </a:rPr>
            <a:t>H) "Hampton Generating Unit"</a:t>
          </a:r>
          <a:r>
            <a:rPr lang="en-US" sz="1100" baseline="0">
              <a:solidFill>
                <a:schemeClr val="dk1"/>
              </a:solidFill>
              <a:effectLst/>
              <a:latin typeface="+mn-lt"/>
              <a:ea typeface="+mn-ea"/>
              <a:cs typeface="+mn-cs"/>
            </a:rPr>
            <a:t> </a:t>
          </a:r>
          <a:r>
            <a:rPr lang="en-US" sz="1100" b="0" baseline="0">
              <a:solidFill>
                <a:schemeClr val="dk1"/>
              </a:solidFill>
              <a:effectLst/>
              <a:latin typeface="+mn-lt"/>
              <a:ea typeface="+mn-ea"/>
              <a:cs typeface="+mn-cs"/>
            </a:rPr>
            <a:t>(p.3)</a:t>
          </a:r>
          <a:r>
            <a:rPr lang="en-US" sz="1100" b="1" baseline="0">
              <a:solidFill>
                <a:schemeClr val="dk1"/>
              </a:solidFill>
              <a:effectLst/>
              <a:latin typeface="+mn-lt"/>
              <a:ea typeface="+mn-ea"/>
              <a:cs typeface="+mn-cs"/>
            </a:rPr>
            <a:t> </a:t>
          </a:r>
          <a:r>
            <a:rPr lang="en-US" sz="1100" baseline="0">
              <a:solidFill>
                <a:schemeClr val="dk1"/>
              </a:solidFill>
              <a:effectLst/>
              <a:latin typeface="+mn-lt"/>
              <a:ea typeface="+mn-ea"/>
              <a:cs typeface="+mn-cs"/>
            </a:rPr>
            <a:t>refers to the 4.5 MW biomass generating unit located in Darrington, Washington.   Snohomish PUD contracts for 100% of the energy and RECs through a long-term PPA executed on 8/7/06 and amended 12/1/11. This project qualifies for the 2X distributed generation multiplier.</a:t>
          </a:r>
          <a:r>
            <a:rPr lang="en-US" sz="1100" b="0" baseline="0">
              <a:solidFill>
                <a:sysClr val="windowText" lastClr="000000"/>
              </a:solidFill>
              <a:effectLst/>
              <a:latin typeface="+mn-lt"/>
              <a:ea typeface="+mn-ea"/>
              <a:cs typeface="+mn-cs"/>
            </a:rPr>
            <a:t> </a:t>
          </a:r>
        </a:p>
        <a:p>
          <a:pPr marL="0" marR="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I) "Qualco Energy Corporation" (</a:t>
          </a:r>
          <a:r>
            <a:rPr lang="en-US" sz="1100" b="0">
              <a:solidFill>
                <a:schemeClr val="dk1"/>
              </a:solidFill>
              <a:effectLst/>
              <a:latin typeface="+mn-lt"/>
              <a:ea typeface="+mn-ea"/>
              <a:cs typeface="+mn-cs"/>
            </a:rPr>
            <a:t>p.3)</a:t>
          </a:r>
          <a:r>
            <a:rPr lang="en-US" sz="1100" b="0" baseline="0">
              <a:solidFill>
                <a:schemeClr val="dk1"/>
              </a:solidFill>
              <a:effectLst/>
              <a:latin typeface="+mn-lt"/>
              <a:ea typeface="+mn-ea"/>
              <a:cs typeface="+mn-cs"/>
            </a:rPr>
            <a:t> </a:t>
          </a:r>
          <a:r>
            <a:rPr lang="en-US" sz="1100" baseline="0">
              <a:solidFill>
                <a:schemeClr val="dk1"/>
              </a:solidFill>
              <a:effectLst/>
              <a:latin typeface="+mn-lt"/>
              <a:ea typeface="+mn-ea"/>
              <a:cs typeface="+mn-cs"/>
            </a:rPr>
            <a:t>refers to the 0.45 MW bio-digester generating unit located in Monroe, Washington.  Snohomish PUD contracts for 100% of the energy and RECs through a long-term PPA executed on 12/26/2013. This project qualifies for the 2x distributed generation multiplier.</a:t>
          </a:r>
          <a:endParaRPr lang="en-US">
            <a:effectLst/>
          </a:endParaRPr>
        </a:p>
        <a:p>
          <a:pPr marL="0" marR="0" indent="0" defTabSz="914400" eaLnBrk="1" fontAlgn="auto" latinLnBrk="0" hangingPunct="1">
            <a:lnSpc>
              <a:spcPct val="100000"/>
            </a:lnSpc>
            <a:spcBef>
              <a:spcPts val="0"/>
            </a:spcBef>
            <a:spcAft>
              <a:spcPts val="0"/>
            </a:spcAft>
            <a:buClrTx/>
            <a:buSzTx/>
            <a:buFontTx/>
            <a:buNone/>
            <a:tabLst/>
            <a:defRPr/>
          </a:pPr>
          <a:r>
            <a:rPr lang="en-US" sz="1100" b="1" baseline="0">
              <a:solidFill>
                <a:schemeClr val="dk1"/>
              </a:solidFill>
              <a:effectLst/>
              <a:latin typeface="+mn-lt"/>
              <a:ea typeface="+mn-ea"/>
              <a:cs typeface="+mn-cs"/>
            </a:rPr>
            <a:t>J) "</a:t>
          </a:r>
          <a:r>
            <a:rPr lang="en-US" sz="1100" b="1">
              <a:solidFill>
                <a:schemeClr val="dk1"/>
              </a:solidFill>
              <a:effectLst/>
              <a:latin typeface="+mn-lt"/>
              <a:ea typeface="+mn-ea"/>
              <a:cs typeface="+mn-cs"/>
            </a:rPr>
            <a:t>Snohomish PUD Solar Express Projects"</a:t>
          </a:r>
          <a:r>
            <a:rPr lang="en-US" sz="1100" b="0">
              <a:solidFill>
                <a:schemeClr val="dk1"/>
              </a:solidFill>
              <a:effectLst/>
              <a:latin typeface="+mn-lt"/>
              <a:ea typeface="+mn-ea"/>
              <a:cs typeface="+mn-cs"/>
            </a:rPr>
            <a:t> </a:t>
          </a:r>
          <a:r>
            <a:rPr lang="en-US" sz="1100" b="0" baseline="0">
              <a:solidFill>
                <a:schemeClr val="dk1"/>
              </a:solidFill>
              <a:effectLst/>
              <a:latin typeface="+mn-lt"/>
              <a:ea typeface="+mn-ea"/>
              <a:cs typeface="+mn-cs"/>
            </a:rPr>
            <a:t>(p.3) </a:t>
          </a:r>
          <a:r>
            <a:rPr lang="en-US" sz="1100" baseline="0">
              <a:solidFill>
                <a:schemeClr val="dk1"/>
              </a:solidFill>
              <a:effectLst/>
              <a:latin typeface="+mn-lt"/>
              <a:ea typeface="+mn-ea"/>
              <a:cs typeface="+mn-cs"/>
            </a:rPr>
            <a:t>refer to customer-owned solar photovoltaic (PV) projects that have been incentivized through the Snohomish PUD's Solar Express Program.  Customers with solar PV systems enrolled in the Solar Express Program agree, as a condition of receiving a program incentive, that Snohomish PUD owns all RECs.  These RECs qualify for the 2X distributed generation multiplier.</a:t>
          </a:r>
          <a:endParaRPr lang="en-US">
            <a:solidFill>
              <a:sysClr val="windowText" lastClr="000000"/>
            </a:solidFill>
            <a:effectLst/>
          </a:endParaRPr>
        </a:p>
        <a:p>
          <a:pPr marL="0" marR="0" indent="0" defTabSz="914400" eaLnBrk="1" fontAlgn="auto" latinLnBrk="0" hangingPunct="1">
            <a:lnSpc>
              <a:spcPct val="100000"/>
            </a:lnSpc>
            <a:spcBef>
              <a:spcPts val="0"/>
            </a:spcBef>
            <a:spcAft>
              <a:spcPts val="0"/>
            </a:spcAft>
            <a:buClrTx/>
            <a:buSzTx/>
            <a:buFontTx/>
            <a:buNone/>
            <a:tabLst/>
            <a:defRPr/>
          </a:pPr>
          <a:r>
            <a:rPr lang="en-US" sz="1100" b="1" baseline="0">
              <a:solidFill>
                <a:schemeClr val="dk1"/>
              </a:solidFill>
              <a:effectLst/>
              <a:latin typeface="+mn-lt"/>
              <a:ea typeface="+mn-ea"/>
              <a:cs typeface="+mn-cs"/>
            </a:rPr>
            <a:t>K) "</a:t>
          </a:r>
          <a:r>
            <a:rPr lang="en-US" sz="1100" b="1">
              <a:solidFill>
                <a:schemeClr val="dk1"/>
              </a:solidFill>
              <a:effectLst/>
              <a:latin typeface="+mn-lt"/>
              <a:ea typeface="+mn-ea"/>
              <a:cs typeface="+mn-cs"/>
            </a:rPr>
            <a:t>White Creek Wind Project"</a:t>
          </a:r>
          <a:r>
            <a:rPr lang="en-US" sz="1100" baseline="0">
              <a:solidFill>
                <a:schemeClr val="dk1"/>
              </a:solidFill>
              <a:effectLst/>
              <a:latin typeface="+mn-lt"/>
              <a:ea typeface="+mn-ea"/>
              <a:cs typeface="+mn-cs"/>
            </a:rPr>
            <a:t> </a:t>
          </a:r>
          <a:r>
            <a:rPr lang="en-US" sz="1100" b="0">
              <a:solidFill>
                <a:schemeClr val="dk1"/>
              </a:solidFill>
              <a:effectLst/>
              <a:latin typeface="+mn-lt"/>
              <a:ea typeface="+mn-ea"/>
              <a:cs typeface="+mn-cs"/>
            </a:rPr>
            <a:t>(p.3) </a:t>
          </a:r>
          <a:r>
            <a:rPr lang="en-US" sz="1100" baseline="0">
              <a:solidFill>
                <a:schemeClr val="dk1"/>
              </a:solidFill>
              <a:effectLst/>
              <a:latin typeface="+mn-lt"/>
              <a:ea typeface="+mn-ea"/>
              <a:cs typeface="+mn-cs"/>
            </a:rPr>
            <a:t>is located in Klickitat County, Washington.  Snohomish PUD contracts for a 10% or 20 MW capacity share of the 204 MW project that includes both energy and RECs, through a long-term PPA executed on 5/10/07.</a:t>
          </a:r>
          <a:endParaRPr lang="en-US">
            <a:effectLst/>
          </a:endParaRPr>
        </a:p>
        <a:p>
          <a:r>
            <a:rPr lang="en-US" sz="1100" b="1" baseline="0">
              <a:solidFill>
                <a:schemeClr val="dk1"/>
              </a:solidFill>
              <a:effectLst/>
              <a:latin typeface="+mn-lt"/>
              <a:ea typeface="+mn-ea"/>
              <a:cs typeface="+mn-cs"/>
            </a:rPr>
            <a:t>L) "</a:t>
          </a:r>
          <a:r>
            <a:rPr lang="en-US" sz="1100" b="1">
              <a:solidFill>
                <a:schemeClr val="dk1"/>
              </a:solidFill>
              <a:effectLst/>
              <a:latin typeface="+mn-lt"/>
              <a:ea typeface="+mn-ea"/>
              <a:cs typeface="+mn-cs"/>
            </a:rPr>
            <a:t>Hay Canyon Wind Facility"</a:t>
          </a:r>
          <a:r>
            <a:rPr lang="en-US" sz="1100">
              <a:solidFill>
                <a:schemeClr val="dk1"/>
              </a:solidFill>
              <a:effectLst/>
              <a:latin typeface="+mn-lt"/>
              <a:ea typeface="+mn-ea"/>
              <a:cs typeface="+mn-cs"/>
            </a:rPr>
            <a:t> </a:t>
          </a:r>
          <a:r>
            <a:rPr lang="en-US" sz="1100" b="0">
              <a:solidFill>
                <a:schemeClr val="dk1"/>
              </a:solidFill>
              <a:effectLst/>
              <a:latin typeface="+mn-lt"/>
              <a:ea typeface="+mn-ea"/>
              <a:cs typeface="+mn-cs"/>
            </a:rPr>
            <a:t>(p.2) </a:t>
          </a:r>
          <a:r>
            <a:rPr lang="en-US" sz="1100">
              <a:solidFill>
                <a:schemeClr val="dk1"/>
              </a:solidFill>
              <a:effectLst/>
              <a:latin typeface="+mn-lt"/>
              <a:ea typeface="+mn-ea"/>
              <a:cs typeface="+mn-cs"/>
            </a:rPr>
            <a:t>refers to a wind facility </a:t>
          </a:r>
          <a:r>
            <a:rPr lang="en-US" sz="1100" baseline="0">
              <a:solidFill>
                <a:schemeClr val="dk1"/>
              </a:solidFill>
              <a:effectLst/>
              <a:latin typeface="+mn-lt"/>
              <a:ea typeface="+mn-ea"/>
              <a:cs typeface="+mn-cs"/>
            </a:rPr>
            <a:t>located in Sherman County, Oregon.  Snohomish PUD contracts for 100% of the energy and RECs through two long-term PPAs executed on 2/2/09.</a:t>
          </a:r>
          <a:endParaRPr lang="en-US">
            <a:effectLst/>
          </a:endParaRPr>
        </a:p>
        <a:p>
          <a:r>
            <a:rPr lang="en-US" sz="1100" b="1" baseline="0">
              <a:solidFill>
                <a:schemeClr val="dk1"/>
              </a:solidFill>
              <a:effectLst/>
              <a:latin typeface="+mn-lt"/>
              <a:ea typeface="+mn-ea"/>
              <a:cs typeface="+mn-cs"/>
            </a:rPr>
            <a:t>M) "</a:t>
          </a:r>
          <a:r>
            <a:rPr lang="en-US" sz="1100" b="1">
              <a:solidFill>
                <a:schemeClr val="dk1"/>
              </a:solidFill>
              <a:effectLst/>
              <a:latin typeface="+mn-lt"/>
              <a:ea typeface="+mn-ea"/>
              <a:cs typeface="+mn-cs"/>
            </a:rPr>
            <a:t>Wheat Field Wind Power Project"</a:t>
          </a:r>
          <a:r>
            <a:rPr lang="en-US" sz="1100">
              <a:solidFill>
                <a:schemeClr val="dk1"/>
              </a:solidFill>
              <a:effectLst/>
              <a:latin typeface="+mn-lt"/>
              <a:ea typeface="+mn-ea"/>
              <a:cs typeface="+mn-cs"/>
            </a:rPr>
            <a:t> </a:t>
          </a:r>
          <a:r>
            <a:rPr lang="en-US" sz="1100" b="0">
              <a:solidFill>
                <a:schemeClr val="dk1"/>
              </a:solidFill>
              <a:effectLst/>
              <a:latin typeface="+mn-lt"/>
              <a:ea typeface="+mn-ea"/>
              <a:cs typeface="+mn-cs"/>
            </a:rPr>
            <a:t>(p.3) </a:t>
          </a:r>
          <a:r>
            <a:rPr lang="en-US" sz="1100">
              <a:solidFill>
                <a:schemeClr val="dk1"/>
              </a:solidFill>
              <a:effectLst/>
              <a:latin typeface="+mn-lt"/>
              <a:ea typeface="+mn-ea"/>
              <a:cs typeface="+mn-cs"/>
            </a:rPr>
            <a:t>is located in Gilliam County,</a:t>
          </a:r>
          <a:r>
            <a:rPr lang="en-US" sz="1100" baseline="0">
              <a:solidFill>
                <a:schemeClr val="dk1"/>
              </a:solidFill>
              <a:effectLst/>
              <a:latin typeface="+mn-lt"/>
              <a:ea typeface="+mn-ea"/>
              <a:cs typeface="+mn-cs"/>
            </a:rPr>
            <a:t> Oregon.  Snohomish PUD contracts for  100% of the energy and RECs through a long-term PPA executed on 8/26/08.</a:t>
          </a:r>
          <a:endParaRPr lang="en-US">
            <a:effectLst/>
          </a:endParaRPr>
        </a:p>
        <a:p>
          <a:r>
            <a:rPr lang="en-US" sz="1100" b="1" baseline="0">
              <a:solidFill>
                <a:sysClr val="windowText" lastClr="000000"/>
              </a:solidFill>
              <a:effectLst/>
              <a:latin typeface="+mn-lt"/>
              <a:ea typeface="+mn-ea"/>
              <a:cs typeface="+mn-cs"/>
            </a:rPr>
            <a:t>N) "BPA Tier 1" </a:t>
          </a:r>
          <a:r>
            <a:rPr lang="en-US" sz="1100" b="0" baseline="0">
              <a:solidFill>
                <a:sysClr val="windowText" lastClr="000000"/>
              </a:solidFill>
              <a:effectLst/>
              <a:latin typeface="+mn-lt"/>
              <a:ea typeface="+mn-ea"/>
              <a:cs typeface="+mn-cs"/>
            </a:rPr>
            <a:t>(p.3) refers to EIA-eligible allocated RECs from the Bonneville Power Administration's Tier 1 System in accordance with Snohomish PUD's BPA Regional Dialogue Purchase and Sales Agreement executed in 2008.  The 2016 estimate is based on the 2015 actual RECs transferred to Snohomish PUD's WREGIS account from BPA. </a:t>
          </a:r>
          <a:endParaRPr lang="en-US">
            <a:solidFill>
              <a:sysClr val="windowText" lastClr="000000"/>
            </a:solidFill>
            <a:effectLst/>
          </a:endParaRPr>
        </a:p>
      </xdr:txBody>
    </xdr:sp>
    <xdr:clientData/>
  </xdr:twoCellAnchor>
  <xdr:twoCellAnchor>
    <xdr:from>
      <xdr:col>0</xdr:col>
      <xdr:colOff>19051</xdr:colOff>
      <xdr:row>20</xdr:row>
      <xdr:rowOff>152401</xdr:rowOff>
    </xdr:from>
    <xdr:to>
      <xdr:col>14</xdr:col>
      <xdr:colOff>19050</xdr:colOff>
      <xdr:row>33</xdr:row>
      <xdr:rowOff>66675</xdr:rowOff>
    </xdr:to>
    <xdr:sp macro="" textlink="">
      <xdr:nvSpPr>
        <xdr:cNvPr id="4" name="TextBox 3"/>
        <xdr:cNvSpPr txBox="1"/>
      </xdr:nvSpPr>
      <xdr:spPr>
        <a:xfrm>
          <a:off x="19051" y="4333876"/>
          <a:ext cx="11306174" cy="24669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lang="en-US" sz="1000" b="1">
              <a:solidFill>
                <a:schemeClr val="dk1"/>
              </a:solidFill>
              <a:effectLst/>
              <a:latin typeface="Arial" pitchFamily="34" charset="0"/>
              <a:ea typeface="+mn-ea"/>
              <a:cs typeface="Arial" pitchFamily="34" charset="0"/>
            </a:rPr>
            <a:t>2016 Reporting Year:</a:t>
          </a:r>
          <a:endParaRPr lang="en-US" sz="1000">
            <a:solidFill>
              <a:schemeClr val="dk1"/>
            </a:solidFill>
            <a:effectLst/>
            <a:latin typeface="Arial" pitchFamily="34" charset="0"/>
            <a:ea typeface="+mn-ea"/>
            <a:cs typeface="Arial" pitchFamily="34" charset="0"/>
          </a:endParaRPr>
        </a:p>
        <a:p>
          <a:pPr algn="l">
            <a:lnSpc>
              <a:spcPts val="1200"/>
            </a:lnSpc>
          </a:pPr>
          <a:r>
            <a:rPr lang="en-US" sz="1000">
              <a:solidFill>
                <a:schemeClr val="dk1"/>
              </a:solidFill>
              <a:effectLst/>
              <a:latin typeface="Arial" pitchFamily="34" charset="0"/>
              <a:ea typeface="+mn-ea"/>
              <a:cs typeface="Arial" pitchFamily="34" charset="0"/>
            </a:rPr>
            <a:t>This renewable energy report summarizes the eligible renewables resources and renewable energy credits (RECs) that the utility has acquired by January 1, 2016 for the purpose of meeting its Energy Independence Act (EIA) renewables target for 2016. The actual resources and RECs used to comply with the 2016 EIA target may vary from those reported here. Utilities will report in June of 2018 on the actual results for 2016.</a:t>
          </a:r>
        </a:p>
        <a:p>
          <a:pPr>
            <a:lnSpc>
              <a:spcPts val="1100"/>
            </a:lnSpc>
          </a:pPr>
          <a:endParaRPr lang="en-US" sz="1000" b="1">
            <a:solidFill>
              <a:schemeClr val="dk1"/>
            </a:solidFill>
            <a:effectLst/>
            <a:latin typeface="Arial" pitchFamily="34" charset="0"/>
            <a:ea typeface="+mn-ea"/>
            <a:cs typeface="Arial" pitchFamily="34" charset="0"/>
          </a:endParaRPr>
        </a:p>
        <a:p>
          <a:pPr>
            <a:lnSpc>
              <a:spcPts val="1100"/>
            </a:lnSpc>
          </a:pPr>
          <a:r>
            <a:rPr lang="en-US" sz="1000" b="1">
              <a:solidFill>
                <a:schemeClr val="dk1"/>
              </a:solidFill>
              <a:effectLst/>
              <a:latin typeface="Arial" pitchFamily="34" charset="0"/>
              <a:ea typeface="+mn-ea"/>
              <a:cs typeface="Arial" pitchFamily="34" charset="0"/>
            </a:rPr>
            <a:t>Compliance Methods: </a:t>
          </a:r>
          <a:endParaRPr lang="en-US" sz="1000">
            <a:solidFill>
              <a:schemeClr val="dk1"/>
            </a:solidFill>
            <a:effectLst/>
            <a:latin typeface="Arial" pitchFamily="34" charset="0"/>
            <a:ea typeface="+mn-ea"/>
            <a:cs typeface="Arial" pitchFamily="34" charset="0"/>
          </a:endParaRPr>
        </a:p>
        <a:p>
          <a:pPr>
            <a:lnSpc>
              <a:spcPts val="1100"/>
            </a:lnSpc>
          </a:pPr>
          <a:r>
            <a:rPr lang="en-US" sz="1000">
              <a:solidFill>
                <a:schemeClr val="dk1"/>
              </a:solidFill>
              <a:effectLst/>
              <a:latin typeface="Arial" pitchFamily="34" charset="0"/>
              <a:ea typeface="+mn-ea"/>
              <a:cs typeface="Arial" pitchFamily="34" charset="0"/>
            </a:rPr>
            <a:t>The EIA provides three compliance methods for utilities:</a:t>
          </a:r>
        </a:p>
        <a:p>
          <a:pPr lvl="0">
            <a:lnSpc>
              <a:spcPts val="1100"/>
            </a:lnSpc>
          </a:pPr>
          <a:r>
            <a:rPr lang="en-US" sz="1000">
              <a:solidFill>
                <a:schemeClr val="dk1"/>
              </a:solidFill>
              <a:effectLst/>
              <a:latin typeface="Arial" pitchFamily="34" charset="0"/>
              <a:ea typeface="+mn-ea"/>
              <a:cs typeface="Arial" pitchFamily="34" charset="0"/>
            </a:rPr>
            <a:t>-- Meet the renewable energy target using any combination of renewable resources and RECs. The target for 2015 is 3% of the utility’s load</a:t>
          </a:r>
        </a:p>
        <a:p>
          <a:pPr lvl="0">
            <a:lnSpc>
              <a:spcPts val="1100"/>
            </a:lnSpc>
          </a:pPr>
          <a:r>
            <a:rPr lang="en-US" sz="1000">
              <a:solidFill>
                <a:schemeClr val="dk1"/>
              </a:solidFill>
              <a:effectLst/>
              <a:latin typeface="Arial" pitchFamily="34" charset="0"/>
              <a:ea typeface="+mn-ea"/>
              <a:cs typeface="Arial" pitchFamily="34" charset="0"/>
            </a:rPr>
            <a:t>-- Invest at least 4% of the utility’s annual revenue requirement in the incremental cost of renewable resources and RECs.</a:t>
          </a:r>
        </a:p>
        <a:p>
          <a:pPr lvl="0">
            <a:lnSpc>
              <a:spcPts val="1200"/>
            </a:lnSpc>
          </a:pPr>
          <a:r>
            <a:rPr lang="en-US" sz="1000">
              <a:solidFill>
                <a:schemeClr val="dk1"/>
              </a:solidFill>
              <a:effectLst/>
              <a:latin typeface="Arial" pitchFamily="34" charset="0"/>
              <a:ea typeface="+mn-ea"/>
              <a:cs typeface="Arial" pitchFamily="34" charset="0"/>
            </a:rPr>
            <a:t>-- Invest at least 1% of its annual revenue requirement in renewable resources and RECs. This option is available</a:t>
          </a:r>
          <a:r>
            <a:rPr lang="en-US" sz="1000" baseline="0">
              <a:solidFill>
                <a:schemeClr val="dk1"/>
              </a:solidFill>
              <a:effectLst/>
              <a:latin typeface="Arial" pitchFamily="34" charset="0"/>
              <a:ea typeface="+mn-ea"/>
              <a:cs typeface="Arial" pitchFamily="34" charset="0"/>
            </a:rPr>
            <a:t> </a:t>
          </a:r>
          <a:r>
            <a:rPr lang="en-US" sz="1000">
              <a:solidFill>
                <a:schemeClr val="dk1"/>
              </a:solidFill>
              <a:effectLst/>
              <a:latin typeface="Arial" pitchFamily="34" charset="0"/>
              <a:ea typeface="+mn-ea"/>
              <a:cs typeface="Arial" pitchFamily="34" charset="0"/>
            </a:rPr>
            <a:t>only to certain utilities that are not growing.</a:t>
          </a:r>
        </a:p>
        <a:p>
          <a:pPr>
            <a:lnSpc>
              <a:spcPts val="1100"/>
            </a:lnSpc>
          </a:pPr>
          <a:endParaRPr lang="en-US" sz="1000">
            <a:solidFill>
              <a:schemeClr val="dk1"/>
            </a:solidFill>
            <a:effectLst/>
            <a:latin typeface="Arial" pitchFamily="34" charset="0"/>
            <a:ea typeface="+mn-ea"/>
            <a:cs typeface="Arial" pitchFamily="34" charset="0"/>
          </a:endParaRPr>
        </a:p>
        <a:p>
          <a:pPr>
            <a:lnSpc>
              <a:spcPts val="1100"/>
            </a:lnSpc>
          </a:pPr>
          <a:r>
            <a:rPr lang="en-US" sz="1000">
              <a:solidFill>
                <a:schemeClr val="dk1"/>
              </a:solidFill>
              <a:effectLst/>
              <a:latin typeface="Arial" pitchFamily="34" charset="0"/>
              <a:ea typeface="+mn-ea"/>
              <a:cs typeface="Arial" pitchFamily="34" charset="0"/>
            </a:rPr>
            <a:t>All utilities must report the renewable resources and RECs acquired for the 2016 target year. Utilities that elect to use a compliance method based on renewable investments must provide additional information demonstrating compliance with that method. Refer to WAC 194-37-110(2) and (3) for specific requirements. </a:t>
          </a:r>
        </a:p>
        <a:p>
          <a:pPr>
            <a:lnSpc>
              <a:spcPts val="1200"/>
            </a:lnSpc>
          </a:pPr>
          <a:endParaRPr lang="en-US" sz="1000" i="1">
            <a:solidFill>
              <a:schemeClr val="dk1"/>
            </a:solidFill>
            <a:effectLst/>
            <a:latin typeface="Arial" pitchFamily="34" charset="0"/>
            <a:ea typeface="+mn-ea"/>
            <a:cs typeface="Arial" pitchFamily="34" charset="0"/>
          </a:endParaRPr>
        </a:p>
        <a:p>
          <a:pPr>
            <a:lnSpc>
              <a:spcPts val="1200"/>
            </a:lnSpc>
          </a:pPr>
          <a:r>
            <a:rPr lang="en-US" sz="1000" i="1">
              <a:solidFill>
                <a:schemeClr val="dk1"/>
              </a:solidFill>
              <a:effectLst/>
              <a:latin typeface="Arial" pitchFamily="34" charset="0"/>
              <a:ea typeface="+mn-ea"/>
              <a:cs typeface="Arial" pitchFamily="34" charset="0"/>
            </a:rPr>
            <a:t>NOTE: This is a general explanation of the renewable energy requirements of the Energy Independence Act, intended to help members of the public understand the information reported by the utility. Consult Chapter 19.285 RCW and Chapter 194-37 WAC for details.</a:t>
          </a:r>
          <a:endParaRPr lang="en-US" sz="1000">
            <a:solidFill>
              <a:schemeClr val="dk1"/>
            </a:solidFill>
            <a:effectLst/>
            <a:latin typeface="Arial" pitchFamily="34" charset="0"/>
            <a:ea typeface="+mn-ea"/>
            <a:cs typeface="Arial" pitchFamily="34" charset="0"/>
          </a:endParaRPr>
        </a:p>
        <a:p>
          <a:pPr>
            <a:lnSpc>
              <a:spcPts val="1000"/>
            </a:lnSpc>
          </a:pPr>
          <a:r>
            <a:rPr lang="en-US" sz="1000">
              <a:effectLst/>
              <a:latin typeface="Arial" pitchFamily="34" charset="0"/>
              <a:cs typeface="Arial" pitchFamily="34" charset="0"/>
            </a:rPr>
            <a:t/>
          </a:r>
          <a:br>
            <a:rPr lang="en-US" sz="1000">
              <a:effectLst/>
              <a:latin typeface="Arial" pitchFamily="34" charset="0"/>
              <a:cs typeface="Arial" pitchFamily="34" charset="0"/>
            </a:rPr>
          </a:br>
          <a:endParaRPr lang="en-US" sz="1000">
            <a:latin typeface="Arial" pitchFamily="34" charset="0"/>
            <a:cs typeface="Arial" pitchFamily="34" charset="0"/>
          </a:endParaRPr>
        </a:p>
      </xdr:txBody>
    </xdr:sp>
    <xdr:clientData/>
  </xdr:twoCellAnchor>
  <mc:AlternateContent xmlns:mc="http://schemas.openxmlformats.org/markup-compatibility/2006">
    <mc:Choice xmlns:a14="http://schemas.microsoft.com/office/drawing/2010/main" Requires="a14">
      <xdr:twoCellAnchor>
        <xdr:from>
          <xdr:col>0</xdr:col>
          <xdr:colOff>733425</xdr:colOff>
          <xdr:row>11</xdr:row>
          <xdr:rowOff>123825</xdr:rowOff>
        </xdr:from>
        <xdr:to>
          <xdr:col>3</xdr:col>
          <xdr:colOff>428625</xdr:colOff>
          <xdr:row>15</xdr:row>
          <xdr:rowOff>123825</xdr:rowOff>
        </xdr:to>
        <xdr:grpSp>
          <xdr:nvGrpSpPr>
            <xdr:cNvPr id="2" name="Group 1"/>
            <xdr:cNvGrpSpPr/>
          </xdr:nvGrpSpPr>
          <xdr:grpSpPr>
            <a:xfrm>
              <a:off x="733425" y="2266950"/>
              <a:ext cx="3248025" cy="695325"/>
              <a:chOff x="1362075" y="2266950"/>
              <a:chExt cx="1524000" cy="533404"/>
            </a:xfrm>
          </xdr:grpSpPr>
          <xdr:sp macro="" textlink="">
            <xdr:nvSpPr>
              <xdr:cNvPr id="5453" name="Check Box 333" hidden="1">
                <a:extLst>
                  <a:ext uri="{63B3BB69-23CF-44E3-9099-C40C66FF867C}">
                    <a14:compatExt spid="_x0000_s5453"/>
                  </a:ext>
                </a:extLst>
              </xdr:cNvPr>
              <xdr:cNvSpPr/>
            </xdr:nvSpPr>
            <xdr:spPr bwMode="auto">
              <a:xfrm>
                <a:off x="1362075" y="2714629"/>
                <a:ext cx="1524000" cy="857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No Load Growth [RCW 19.285.040(2)(d)]</a:t>
                </a:r>
              </a:p>
            </xdr:txBody>
          </xdr:sp>
          <xdr:sp macro="" textlink="">
            <xdr:nvSpPr>
              <xdr:cNvPr id="5454" name="Check Box 334" hidden="1">
                <a:extLst>
                  <a:ext uri="{63B3BB69-23CF-44E3-9099-C40C66FF867C}">
                    <a14:compatExt spid="_x0000_s5454"/>
                  </a:ext>
                </a:extLst>
              </xdr:cNvPr>
              <xdr:cNvSpPr/>
            </xdr:nvSpPr>
            <xdr:spPr bwMode="auto">
              <a:xfrm>
                <a:off x="1362075" y="2447925"/>
                <a:ext cx="1447800" cy="2095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Resource Cost [RCW 19.285.050]</a:t>
                </a:r>
              </a:p>
            </xdr:txBody>
          </xdr:sp>
          <xdr:sp macro="" textlink="">
            <xdr:nvSpPr>
              <xdr:cNvPr id="5455" name="Check Box 335" hidden="1">
                <a:extLst>
                  <a:ext uri="{63B3BB69-23CF-44E3-9099-C40C66FF867C}">
                    <a14:compatExt spid="_x0000_s5455"/>
                  </a:ext>
                </a:extLst>
              </xdr:cNvPr>
              <xdr:cNvSpPr/>
            </xdr:nvSpPr>
            <xdr:spPr bwMode="auto">
              <a:xfrm>
                <a:off x="1362075" y="2266950"/>
                <a:ext cx="1352550" cy="1333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RPS Target [RCW 19.285.040(2)(a)]</a:t>
                </a:r>
              </a:p>
            </xdr:txBody>
          </xdr:sp>
        </xdr:grp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6</xdr:col>
      <xdr:colOff>85725</xdr:colOff>
      <xdr:row>35</xdr:row>
      <xdr:rowOff>0</xdr:rowOff>
    </xdr:from>
    <xdr:to>
      <xdr:col>10</xdr:col>
      <xdr:colOff>1066800</xdr:colOff>
      <xdr:row>54</xdr:row>
      <xdr:rowOff>142875</xdr:rowOff>
    </xdr:to>
    <xdr:sp macro="" textlink="">
      <xdr:nvSpPr>
        <xdr:cNvPr id="3" name="TextBox 2"/>
        <xdr:cNvSpPr txBox="1"/>
      </xdr:nvSpPr>
      <xdr:spPr>
        <a:xfrm>
          <a:off x="6276975" y="7343775"/>
          <a:ext cx="4171950" cy="4829175"/>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Attachment A contains </a:t>
          </a:r>
          <a:r>
            <a:rPr lang="en-US" sz="1100" b="1" baseline="0">
              <a:solidFill>
                <a:schemeClr val="dk1"/>
              </a:solidFill>
              <a:effectLst/>
              <a:latin typeface="+mn-lt"/>
              <a:ea typeface="+mn-ea"/>
              <a:cs typeface="+mn-cs"/>
            </a:rPr>
            <a:t>Snohomish PUD No. 1's Electric System 2016 Adopted Budget for Energy/Water Retail Sales, approved by Board of Commissioners Resolution No. 5759, dated Dec. 15, 2015.</a:t>
          </a:r>
          <a:endParaRPr lang="en-US" sz="1100" b="1" baseline="0"/>
        </a:p>
        <a:p>
          <a:endParaRPr lang="en-US" sz="1100" b="1"/>
        </a:p>
        <a:p>
          <a:r>
            <a:rPr lang="en-US" sz="1100" b="1"/>
            <a:t>Attachment</a:t>
          </a:r>
          <a:r>
            <a:rPr lang="en-US" sz="1100" b="1" baseline="0"/>
            <a:t> B contains the annual incremental cost calculation for Snohomish PUD's acquired and available resources.</a:t>
          </a:r>
        </a:p>
        <a:p>
          <a:endParaRPr lang="en-US" sz="1100" b="1" baseline="0"/>
        </a:p>
        <a:p>
          <a:r>
            <a:rPr lang="en-US" sz="1100" b="1" baseline="0"/>
            <a:t>Attachment C contains the BLS data used to calculate the annual inflation rate.</a:t>
          </a:r>
          <a:endParaRPr lang="en-US" sz="1100" b="1"/>
        </a:p>
      </xdr:txBody>
    </xdr:sp>
    <xdr:clientData/>
  </xdr:twoCellAnchor>
  <mc:AlternateContent xmlns:mc="http://schemas.openxmlformats.org/markup-compatibility/2006">
    <mc:Choice xmlns:a14="http://schemas.microsoft.com/office/drawing/2010/main" Requires="a14">
      <xdr:twoCellAnchor editAs="oneCell">
        <xdr:from>
          <xdr:col>6</xdr:col>
          <xdr:colOff>342900</xdr:colOff>
          <xdr:row>44</xdr:row>
          <xdr:rowOff>142875</xdr:rowOff>
        </xdr:from>
        <xdr:to>
          <xdr:col>7</xdr:col>
          <xdr:colOff>466725</xdr:colOff>
          <xdr:row>47</xdr:row>
          <xdr:rowOff>85725</xdr:rowOff>
        </xdr:to>
        <xdr:sp macro="" textlink="">
          <xdr:nvSpPr>
            <xdr:cNvPr id="11266" name="Object 2" hidden="1">
              <a:extLst>
                <a:ext uri="{63B3BB69-23CF-44E3-9099-C40C66FF867C}">
                  <a14:compatExt spid="_x0000_s11266"/>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commerce.wa.gov/Documents/EIA_2014%20ReportWorkbook_DRAFT%203-27-201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servation Report"/>
      <sheetName val="Renewables Report"/>
    </sheetNames>
    <sheetDataSet>
      <sheetData sheetId="0" refreshError="1"/>
      <sheetData sheetId="1">
        <row r="3">
          <cell r="C3" t="str">
            <v>Utility Name</v>
          </cell>
        </row>
      </sheetData>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4.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drawing" Target="../drawings/drawing3.xml"/><Relationship Id="rId7" Type="http://schemas.openxmlformats.org/officeDocument/2006/relationships/ctrlProp" Target="../ctrlProps/ctrlProp3.xml"/><Relationship Id="rId2" Type="http://schemas.openxmlformats.org/officeDocument/2006/relationships/printerSettings" Target="../printerSettings/printerSettings4.bin"/><Relationship Id="rId1" Type="http://schemas.openxmlformats.org/officeDocument/2006/relationships/hyperlink" Target="mailto:ajberg@snopud.com" TargetMode="External"/><Relationship Id="rId6" Type="http://schemas.openxmlformats.org/officeDocument/2006/relationships/ctrlProp" Target="../ctrlProps/ctrlProp2.xml"/><Relationship Id="rId5" Type="http://schemas.openxmlformats.org/officeDocument/2006/relationships/ctrlProp" Target="../ctrlProps/ctrlProp1.xml"/><Relationship Id="rId4" Type="http://schemas.openxmlformats.org/officeDocument/2006/relationships/vmlDrawing" Target="../drawings/vmlDrawing2.v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5.bin"/><Relationship Id="rId5" Type="http://schemas.openxmlformats.org/officeDocument/2006/relationships/image" Target="../media/image2.emf"/><Relationship Id="rId4" Type="http://schemas.openxmlformats.org/officeDocument/2006/relationships/oleObject" Target="../embeddings/oleObject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N9"/>
  <sheetViews>
    <sheetView tabSelected="1" workbookViewId="0">
      <selection activeCell="A5" sqref="A5"/>
    </sheetView>
  </sheetViews>
  <sheetFormatPr defaultRowHeight="15" x14ac:dyDescent="0.25"/>
  <cols>
    <col min="1" max="1" width="135.140625" customWidth="1"/>
    <col min="14" max="14" width="11.7109375" customWidth="1"/>
  </cols>
  <sheetData>
    <row r="1" spans="1:14" ht="18.75" x14ac:dyDescent="0.25">
      <c r="A1" s="69" t="s">
        <v>193</v>
      </c>
    </row>
    <row r="2" spans="1:14" x14ac:dyDescent="0.25">
      <c r="A2" s="70" t="s">
        <v>109</v>
      </c>
    </row>
    <row r="3" spans="1:14" x14ac:dyDescent="0.25">
      <c r="A3" s="69"/>
      <c r="N3" s="43"/>
    </row>
    <row r="4" spans="1:14" x14ac:dyDescent="0.25">
      <c r="A4" s="68" t="s">
        <v>110</v>
      </c>
    </row>
    <row r="5" spans="1:14" x14ac:dyDescent="0.25">
      <c r="A5" s="68" t="s">
        <v>105</v>
      </c>
      <c r="N5">
        <f>IF(REN_Load_2015+REN_Load_2014&gt;0,AVERAGE(REN_Load_2015,REN_Load_2014),0)</f>
        <v>6480546</v>
      </c>
    </row>
    <row r="6" spans="1:14" x14ac:dyDescent="0.25">
      <c r="A6" s="68" t="s">
        <v>196</v>
      </c>
    </row>
    <row r="8" spans="1:14" x14ac:dyDescent="0.25">
      <c r="A8" s="71" t="s">
        <v>191</v>
      </c>
    </row>
    <row r="9" spans="1:14" x14ac:dyDescent="0.25">
      <c r="A9" s="72" t="s">
        <v>192</v>
      </c>
    </row>
  </sheetData>
  <sheetProtection sheet="1" objects="1" scenarios="1"/>
  <pageMargins left="0.7" right="0.7" top="0.75" bottom="0.75" header="0.3" footer="0.3"/>
  <pageSetup scale="50"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N7"/>
  <sheetViews>
    <sheetView workbookViewId="0">
      <selection activeCell="A7" sqref="A7"/>
    </sheetView>
  </sheetViews>
  <sheetFormatPr defaultRowHeight="15" x14ac:dyDescent="0.25"/>
  <cols>
    <col min="1" max="1" width="107" customWidth="1"/>
    <col min="14" max="14" width="11.7109375" customWidth="1"/>
  </cols>
  <sheetData>
    <row r="1" spans="1:14" ht="18.75" x14ac:dyDescent="0.25">
      <c r="A1" s="38" t="s">
        <v>111</v>
      </c>
    </row>
    <row r="2" spans="1:14" ht="18.75" x14ac:dyDescent="0.25">
      <c r="A2" s="39"/>
    </row>
    <row r="3" spans="1:14" ht="57" x14ac:dyDescent="0.25">
      <c r="A3" s="40" t="s">
        <v>112</v>
      </c>
      <c r="N3" s="43"/>
    </row>
    <row r="4" spans="1:14" x14ac:dyDescent="0.25">
      <c r="A4" s="40"/>
      <c r="N4" s="43"/>
    </row>
    <row r="5" spans="1:14" ht="72" x14ac:dyDescent="0.25">
      <c r="A5" s="40" t="s">
        <v>113</v>
      </c>
      <c r="N5" s="43"/>
    </row>
    <row r="6" spans="1:14" x14ac:dyDescent="0.25">
      <c r="A6" s="40"/>
    </row>
    <row r="7" spans="1:14" ht="29.25" thickBot="1" x14ac:dyDescent="0.3">
      <c r="A7" s="41" t="s">
        <v>114</v>
      </c>
      <c r="N7">
        <f>IF(REN_Load_2015+REN_Load_2014&gt;0,AVERAGE(REN_Load_2015,REN_Load_2014),0)</f>
        <v>6480546</v>
      </c>
    </row>
  </sheetData>
  <pageMargins left="0.7" right="0.7" top="0.75" bottom="0.75" header="0.3" footer="0.3"/>
  <pageSetup scale="54" fitToHeight="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pageSetUpPr fitToPage="1"/>
  </sheetPr>
  <dimension ref="A1:K56"/>
  <sheetViews>
    <sheetView topLeftCell="A40" zoomScaleNormal="100" workbookViewId="0">
      <selection activeCell="B15" sqref="B15"/>
    </sheetView>
  </sheetViews>
  <sheetFormatPr defaultColWidth="9.140625" defaultRowHeight="12.75" x14ac:dyDescent="0.2"/>
  <cols>
    <col min="1" max="2" width="16.7109375" style="86" customWidth="1"/>
    <col min="3" max="3" width="17.140625" style="86" customWidth="1"/>
    <col min="4" max="4" width="16" style="86" customWidth="1"/>
    <col min="5" max="5" width="4.42578125" style="86" customWidth="1"/>
    <col min="6" max="6" width="14.42578125" style="86" customWidth="1"/>
    <col min="7" max="7" width="15.28515625" style="86" customWidth="1"/>
    <col min="8" max="8" width="12.28515625" style="86" customWidth="1"/>
    <col min="9" max="9" width="11.140625" style="86" customWidth="1"/>
    <col min="10" max="10" width="9.140625" style="86"/>
    <col min="11" max="11" width="11.7109375" style="86" customWidth="1"/>
    <col min="12" max="16384" width="9.140625" style="86"/>
  </cols>
  <sheetData>
    <row r="1" spans="1:11" ht="15" x14ac:dyDescent="0.2">
      <c r="A1" s="234" t="s">
        <v>191</v>
      </c>
      <c r="B1" s="234"/>
      <c r="C1" s="234"/>
      <c r="D1" s="234"/>
      <c r="E1" s="234"/>
      <c r="F1" s="234"/>
      <c r="G1" s="234"/>
      <c r="H1" s="234"/>
      <c r="I1" s="234"/>
    </row>
    <row r="2" spans="1:11" ht="15" x14ac:dyDescent="0.2">
      <c r="A2" s="235" t="s">
        <v>192</v>
      </c>
      <c r="B2" s="235"/>
      <c r="C2" s="235"/>
      <c r="D2" s="235"/>
      <c r="E2" s="235"/>
      <c r="F2" s="235"/>
      <c r="G2" s="235"/>
      <c r="H2" s="235"/>
      <c r="I2" s="235"/>
    </row>
    <row r="3" spans="1:11" s="88" customFormat="1" ht="19.5" x14ac:dyDescent="0.4">
      <c r="A3" s="87" t="s">
        <v>115</v>
      </c>
    </row>
    <row r="4" spans="1:11" ht="15" customHeight="1" x14ac:dyDescent="0.2">
      <c r="A4" s="89"/>
    </row>
    <row r="5" spans="1:11" ht="14.25" customHeight="1" thickBot="1" x14ac:dyDescent="0.25">
      <c r="A5" s="90" t="s">
        <v>4</v>
      </c>
      <c r="B5" s="236" t="s">
        <v>204</v>
      </c>
      <c r="C5" s="236"/>
      <c r="D5" s="236"/>
      <c r="F5" s="237" t="s">
        <v>123</v>
      </c>
      <c r="G5" s="237"/>
      <c r="H5" s="237"/>
      <c r="I5" s="237"/>
      <c r="K5" s="91"/>
    </row>
    <row r="6" spans="1:11" ht="15" customHeight="1" x14ac:dyDescent="0.2">
      <c r="A6" s="92" t="s">
        <v>41</v>
      </c>
      <c r="B6" s="238">
        <v>42521</v>
      </c>
      <c r="C6" s="239"/>
      <c r="D6" s="239"/>
      <c r="E6" s="93"/>
      <c r="G6" s="94" t="s">
        <v>118</v>
      </c>
      <c r="H6" s="95"/>
      <c r="I6" s="94" t="s">
        <v>120</v>
      </c>
    </row>
    <row r="7" spans="1:11" ht="15" customHeight="1" x14ac:dyDescent="0.2">
      <c r="A7" s="96" t="s">
        <v>40</v>
      </c>
      <c r="B7" s="233" t="s">
        <v>232</v>
      </c>
      <c r="C7" s="228"/>
      <c r="D7" s="228"/>
      <c r="E7" s="88"/>
      <c r="G7" s="97" t="s">
        <v>119</v>
      </c>
      <c r="I7" s="97" t="s">
        <v>119</v>
      </c>
    </row>
    <row r="8" spans="1:11" ht="15" customHeight="1" thickBot="1" x14ac:dyDescent="0.25">
      <c r="A8" s="96" t="s">
        <v>1</v>
      </c>
      <c r="B8" s="228" t="s">
        <v>233</v>
      </c>
      <c r="C8" s="228"/>
      <c r="D8" s="228"/>
      <c r="E8" s="88"/>
      <c r="F8" s="98" t="s">
        <v>124</v>
      </c>
      <c r="G8" s="99">
        <f>CON_Target_2014_2015</f>
        <v>116508</v>
      </c>
      <c r="H8" s="98" t="s">
        <v>125</v>
      </c>
      <c r="I8" s="100">
        <f>CON_Target_2016_2017</f>
        <v>122990</v>
      </c>
    </row>
    <row r="9" spans="1:11" ht="15" customHeight="1" x14ac:dyDescent="0.2">
      <c r="A9" s="96" t="s">
        <v>2</v>
      </c>
      <c r="B9" s="229" t="s">
        <v>234</v>
      </c>
      <c r="C9" s="230"/>
      <c r="D9" s="230"/>
      <c r="E9" s="88"/>
      <c r="F9" s="98" t="s">
        <v>3</v>
      </c>
      <c r="G9" s="101">
        <f>CON_2014_MWH+CON_2015_MWH</f>
        <v>225069.47761801147</v>
      </c>
    </row>
    <row r="10" spans="1:11" ht="15" customHeight="1" thickBot="1" x14ac:dyDescent="0.25">
      <c r="A10" s="96"/>
      <c r="B10" s="102"/>
      <c r="C10" s="88"/>
      <c r="D10" s="88"/>
      <c r="E10" s="88"/>
      <c r="F10" s="98" t="s">
        <v>194</v>
      </c>
      <c r="G10" s="103">
        <f>G9-G8</f>
        <v>108561.47761801147</v>
      </c>
    </row>
    <row r="11" spans="1:11" s="88" customFormat="1" ht="13.5" thickBot="1" x14ac:dyDescent="0.25">
      <c r="A11" s="231" t="s">
        <v>33</v>
      </c>
      <c r="B11" s="231"/>
      <c r="C11" s="231"/>
      <c r="D11" s="231"/>
      <c r="E11" s="104"/>
      <c r="H11" s="86"/>
      <c r="I11" s="86"/>
    </row>
    <row r="12" spans="1:11" s="88" customFormat="1" x14ac:dyDescent="0.2">
      <c r="A12" s="223" t="s">
        <v>35</v>
      </c>
      <c r="B12" s="223"/>
      <c r="C12" s="232" t="s">
        <v>116</v>
      </c>
      <c r="D12" s="223"/>
      <c r="F12" s="86"/>
      <c r="G12" s="86"/>
      <c r="H12" s="86"/>
      <c r="I12" s="86"/>
    </row>
    <row r="13" spans="1:11" ht="38.25" x14ac:dyDescent="0.2">
      <c r="A13" s="105" t="s">
        <v>37</v>
      </c>
      <c r="B13" s="106" t="s">
        <v>36</v>
      </c>
      <c r="C13" s="106" t="s">
        <v>121</v>
      </c>
      <c r="D13" s="106" t="s">
        <v>122</v>
      </c>
    </row>
    <row r="14" spans="1:11" ht="15" customHeight="1" x14ac:dyDescent="0.2">
      <c r="A14" s="77">
        <v>640356</v>
      </c>
      <c r="B14" s="78">
        <v>116508</v>
      </c>
      <c r="C14" s="77">
        <v>623449</v>
      </c>
      <c r="D14" s="78">
        <v>122990</v>
      </c>
    </row>
    <row r="15" spans="1:11" ht="15" customHeight="1" thickBot="1" x14ac:dyDescent="0.25">
      <c r="A15" s="88"/>
      <c r="B15" s="88"/>
      <c r="C15" s="88"/>
      <c r="D15" s="88"/>
      <c r="E15" s="88"/>
      <c r="F15" s="88"/>
      <c r="G15" s="88"/>
    </row>
    <row r="16" spans="1:11" ht="13.5" thickTop="1" x14ac:dyDescent="0.2">
      <c r="A16" s="222" t="s">
        <v>3</v>
      </c>
      <c r="B16" s="222"/>
      <c r="C16" s="222"/>
      <c r="D16" s="222"/>
      <c r="E16" s="222"/>
      <c r="F16" s="222"/>
      <c r="G16" s="222"/>
    </row>
    <row r="17" spans="1:7" ht="15" customHeight="1" x14ac:dyDescent="0.2">
      <c r="A17" s="107"/>
      <c r="C17" s="223" t="s">
        <v>74</v>
      </c>
      <c r="D17" s="223"/>
      <c r="F17" s="223" t="s">
        <v>117</v>
      </c>
      <c r="G17" s="223"/>
    </row>
    <row r="18" spans="1:7" ht="30.75" customHeight="1" x14ac:dyDescent="0.2">
      <c r="B18" s="108" t="s">
        <v>24</v>
      </c>
      <c r="C18" s="109" t="s">
        <v>7</v>
      </c>
      <c r="D18" s="109" t="s">
        <v>8</v>
      </c>
      <c r="F18" s="109" t="s">
        <v>7</v>
      </c>
      <c r="G18" s="109" t="s">
        <v>8</v>
      </c>
    </row>
    <row r="19" spans="1:7" ht="15" customHeight="1" x14ac:dyDescent="0.2">
      <c r="B19" s="15" t="s">
        <v>9</v>
      </c>
      <c r="C19" s="218">
        <v>34353.521208801991</v>
      </c>
      <c r="D19" s="80">
        <v>6477555.6399999987</v>
      </c>
      <c r="F19" s="218">
        <v>29992.560232057458</v>
      </c>
      <c r="G19" s="80">
        <v>6873037.9600000028</v>
      </c>
    </row>
    <row r="20" spans="1:7" ht="15" customHeight="1" x14ac:dyDescent="0.2">
      <c r="B20" s="15" t="s">
        <v>10</v>
      </c>
      <c r="C20" s="218">
        <v>35338.663346073605</v>
      </c>
      <c r="D20" s="80">
        <v>4729231</v>
      </c>
      <c r="F20" s="218">
        <v>27109.0187625984</v>
      </c>
      <c r="G20" s="80">
        <v>2628472</v>
      </c>
    </row>
    <row r="21" spans="1:7" ht="15" customHeight="1" x14ac:dyDescent="0.2">
      <c r="B21" s="15" t="s">
        <v>11</v>
      </c>
      <c r="C21" s="218">
        <v>8710.1958451199989</v>
      </c>
      <c r="D21" s="80">
        <v>1426062.7800000005</v>
      </c>
      <c r="F21" s="218">
        <v>12866.653716479999</v>
      </c>
      <c r="G21" s="80">
        <v>1263546.4099999999</v>
      </c>
    </row>
    <row r="22" spans="1:7" ht="15" customHeight="1" x14ac:dyDescent="0.2">
      <c r="B22" s="15" t="s">
        <v>12</v>
      </c>
      <c r="C22" s="218">
        <v>0</v>
      </c>
      <c r="D22" s="80">
        <v>0</v>
      </c>
      <c r="F22" s="218">
        <v>0</v>
      </c>
      <c r="G22" s="80">
        <v>0</v>
      </c>
    </row>
    <row r="23" spans="1:7" ht="15" customHeight="1" x14ac:dyDescent="0.2">
      <c r="B23" s="15" t="s">
        <v>20</v>
      </c>
      <c r="C23" s="218">
        <v>0</v>
      </c>
      <c r="D23" s="80">
        <v>0</v>
      </c>
      <c r="F23" s="218">
        <v>0</v>
      </c>
      <c r="G23" s="80">
        <v>0</v>
      </c>
    </row>
    <row r="24" spans="1:7" ht="15" customHeight="1" x14ac:dyDescent="0.2">
      <c r="B24" s="110" t="s">
        <v>21</v>
      </c>
      <c r="C24" s="218">
        <v>0</v>
      </c>
      <c r="D24" s="80">
        <v>0</v>
      </c>
      <c r="F24" s="218">
        <v>0</v>
      </c>
      <c r="G24" s="80">
        <v>0</v>
      </c>
    </row>
    <row r="25" spans="1:7" ht="15" customHeight="1" x14ac:dyDescent="0.2">
      <c r="B25" s="110" t="s">
        <v>5</v>
      </c>
      <c r="C25" s="81">
        <v>37907.744547839997</v>
      </c>
      <c r="D25" s="80">
        <v>354229</v>
      </c>
      <c r="F25" s="81">
        <v>38791.119959039999</v>
      </c>
      <c r="G25" s="80">
        <v>141466</v>
      </c>
    </row>
    <row r="26" spans="1:7" ht="15" customHeight="1" x14ac:dyDescent="0.2">
      <c r="B26" s="82"/>
      <c r="C26" s="81"/>
      <c r="D26" s="80"/>
      <c r="F26" s="81"/>
      <c r="G26" s="80"/>
    </row>
    <row r="27" spans="1:7" ht="15" customHeight="1" x14ac:dyDescent="0.2">
      <c r="B27" s="82"/>
      <c r="C27" s="81"/>
      <c r="D27" s="80"/>
      <c r="F27" s="81"/>
      <c r="G27" s="80"/>
    </row>
    <row r="28" spans="1:7" ht="30.75" customHeight="1" x14ac:dyDescent="0.2">
      <c r="A28" s="224" t="s">
        <v>34</v>
      </c>
      <c r="B28" s="225"/>
      <c r="D28" s="111"/>
      <c r="G28" s="111"/>
    </row>
    <row r="29" spans="1:7" ht="15" customHeight="1" x14ac:dyDescent="0.2">
      <c r="B29" s="83" t="s">
        <v>235</v>
      </c>
      <c r="C29" s="112"/>
      <c r="D29" s="80">
        <v>3224914.2100000004</v>
      </c>
      <c r="F29" s="112"/>
      <c r="G29" s="80">
        <v>3084560.7700000005</v>
      </c>
    </row>
    <row r="30" spans="1:7" ht="15" customHeight="1" x14ac:dyDescent="0.2">
      <c r="B30" s="83" t="s">
        <v>236</v>
      </c>
      <c r="C30" s="113"/>
      <c r="D30" s="80">
        <v>4642789</v>
      </c>
      <c r="F30" s="113"/>
      <c r="G30" s="80">
        <v>4869128.8599999957</v>
      </c>
    </row>
    <row r="31" spans="1:7" ht="15" customHeight="1" x14ac:dyDescent="0.2">
      <c r="B31" s="114" t="s">
        <v>6</v>
      </c>
      <c r="C31" s="115">
        <f>SUM(C19:C27)</f>
        <v>116310.1249478356</v>
      </c>
      <c r="D31" s="116">
        <f>SUM(D19:D30)</f>
        <v>20854781.630000003</v>
      </c>
      <c r="F31" s="115">
        <f>SUM(F19:F27)</f>
        <v>108759.35267017587</v>
      </c>
      <c r="G31" s="116">
        <f>SUM(G19:G30)</f>
        <v>18860212</v>
      </c>
    </row>
    <row r="32" spans="1:7" ht="15" customHeight="1" x14ac:dyDescent="0.2">
      <c r="A32" s="117"/>
      <c r="B32" s="118"/>
      <c r="C32" s="119"/>
      <c r="D32" s="118"/>
      <c r="E32" s="119"/>
    </row>
    <row r="33" spans="1:9" s="88" customFormat="1" ht="15" customHeight="1" x14ac:dyDescent="0.2">
      <c r="A33" s="90" t="s">
        <v>4</v>
      </c>
      <c r="B33" s="226" t="str">
        <f>CON_Utility_Name</f>
        <v>Snohomish County PUD</v>
      </c>
      <c r="C33" s="226"/>
      <c r="D33" s="226"/>
      <c r="E33" s="226"/>
      <c r="F33" s="86"/>
      <c r="G33" s="86"/>
    </row>
    <row r="34" spans="1:9" s="88" customFormat="1" x14ac:dyDescent="0.2">
      <c r="A34" s="120" t="s">
        <v>13</v>
      </c>
      <c r="B34" s="227">
        <v>2016</v>
      </c>
      <c r="C34" s="227"/>
      <c r="D34" s="227"/>
      <c r="E34" s="227"/>
    </row>
    <row r="35" spans="1:9" s="88" customFormat="1" x14ac:dyDescent="0.2">
      <c r="A35" s="120"/>
      <c r="B35" s="121"/>
      <c r="C35" s="121"/>
      <c r="D35" s="121"/>
      <c r="E35" s="121"/>
    </row>
    <row r="36" spans="1:9" ht="28.5" customHeight="1" x14ac:dyDescent="0.2">
      <c r="A36" s="220" t="s">
        <v>190</v>
      </c>
      <c r="B36" s="220"/>
      <c r="C36" s="220"/>
      <c r="D36" s="220"/>
      <c r="E36" s="220"/>
      <c r="F36" s="220"/>
      <c r="G36" s="220"/>
      <c r="H36" s="220"/>
      <c r="I36" s="220"/>
    </row>
    <row r="37" spans="1:9" s="75" customFormat="1" ht="270.75" customHeight="1" x14ac:dyDescent="0.2">
      <c r="A37" s="221"/>
      <c r="B37" s="221"/>
      <c r="C37" s="221"/>
      <c r="D37" s="221"/>
      <c r="E37" s="221"/>
      <c r="F37" s="221"/>
      <c r="G37" s="221"/>
      <c r="H37" s="221"/>
      <c r="I37" s="221"/>
    </row>
    <row r="38" spans="1:9" s="75" customFormat="1" x14ac:dyDescent="0.2"/>
    <row r="39" spans="1:9" s="75" customFormat="1" x14ac:dyDescent="0.2"/>
    <row r="40" spans="1:9" s="75" customFormat="1" x14ac:dyDescent="0.2">
      <c r="B40" s="75" t="s">
        <v>237</v>
      </c>
    </row>
    <row r="41" spans="1:9" s="75" customFormat="1" x14ac:dyDescent="0.2"/>
    <row r="42" spans="1:9" s="75" customFormat="1" x14ac:dyDescent="0.2"/>
    <row r="43" spans="1:9" s="75" customFormat="1" x14ac:dyDescent="0.2"/>
    <row r="44" spans="1:9" s="75" customFormat="1" x14ac:dyDescent="0.2"/>
    <row r="45" spans="1:9" s="75" customFormat="1" x14ac:dyDescent="0.2"/>
    <row r="46" spans="1:9" s="75" customFormat="1" x14ac:dyDescent="0.2">
      <c r="D46" s="75" t="s">
        <v>238</v>
      </c>
    </row>
    <row r="47" spans="1:9" s="75" customFormat="1" x14ac:dyDescent="0.2"/>
    <row r="48" spans="1:9" s="75" customFormat="1" x14ac:dyDescent="0.2"/>
    <row r="49" s="75" customFormat="1" x14ac:dyDescent="0.2"/>
    <row r="50" s="75" customFormat="1" x14ac:dyDescent="0.2"/>
    <row r="51" s="75" customFormat="1" x14ac:dyDescent="0.2"/>
    <row r="52" s="75" customFormat="1" x14ac:dyDescent="0.2"/>
    <row r="53" s="75" customFormat="1" x14ac:dyDescent="0.2"/>
    <row r="54" s="75" customFormat="1" x14ac:dyDescent="0.2"/>
    <row r="55" s="75" customFormat="1" x14ac:dyDescent="0.2"/>
    <row r="56" s="75" customFormat="1" x14ac:dyDescent="0.2"/>
  </sheetData>
  <sheetProtection sheet="1" scenarios="1"/>
  <mergeCells count="20">
    <mergeCell ref="B7:D7"/>
    <mergeCell ref="A1:I1"/>
    <mergeCell ref="A2:I2"/>
    <mergeCell ref="B5:D5"/>
    <mergeCell ref="F5:I5"/>
    <mergeCell ref="B6:D6"/>
    <mergeCell ref="B8:D8"/>
    <mergeCell ref="B9:D9"/>
    <mergeCell ref="A11:D11"/>
    <mergeCell ref="A12:B12"/>
    <mergeCell ref="C12:D12"/>
    <mergeCell ref="A36:I36"/>
    <mergeCell ref="A37:I37"/>
    <mergeCell ref="F16:G16"/>
    <mergeCell ref="C17:D17"/>
    <mergeCell ref="F17:G17"/>
    <mergeCell ref="A28:B28"/>
    <mergeCell ref="B33:E33"/>
    <mergeCell ref="B34:E34"/>
    <mergeCell ref="A16:E16"/>
  </mergeCells>
  <pageMargins left="0.7" right="0.7" top="0.75" bottom="0.75" header="0.3" footer="0.3"/>
  <pageSetup scale="84" fitToHeight="0" orientation="landscape" r:id="rId1"/>
  <rowBreaks count="1" manualBreakCount="1">
    <brk id="31" max="16383" man="1"/>
  </rowBreaks>
  <drawing r:id="rId2"/>
  <legacyDrawing r:id="rId3"/>
  <oleObjects>
    <mc:AlternateContent xmlns:mc="http://schemas.openxmlformats.org/markup-compatibility/2006">
      <mc:Choice Requires="x14">
        <oleObject progId="Acrobat Document" dvAspect="DVASPECT_ICON" shapeId="9217" r:id="rId4">
          <objectPr defaultSize="0" r:id="rId5">
            <anchor moveWithCells="1">
              <from>
                <xdr:col>1</xdr:col>
                <xdr:colOff>28575</xdr:colOff>
                <xdr:row>40</xdr:row>
                <xdr:rowOff>38100</xdr:rowOff>
              </from>
              <to>
                <xdr:col>1</xdr:col>
                <xdr:colOff>942975</xdr:colOff>
                <xdr:row>44</xdr:row>
                <xdr:rowOff>76200</xdr:rowOff>
              </to>
            </anchor>
          </objectPr>
        </oleObject>
      </mc:Choice>
      <mc:Fallback>
        <oleObject progId="Acrobat Document" dvAspect="DVASPECT_ICON" shapeId="9217" r:id="rId4"/>
      </mc:Fallback>
    </mc:AlternateContent>
  </oleObjec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theme="6"/>
    <pageSetUpPr fitToPage="1"/>
  </sheetPr>
  <dimension ref="A1:AG116"/>
  <sheetViews>
    <sheetView showGridLines="0" topLeftCell="A91" zoomScaleNormal="100" zoomScaleSheetLayoutView="100" workbookViewId="0">
      <selection activeCell="O103" sqref="O103"/>
    </sheetView>
  </sheetViews>
  <sheetFormatPr defaultColWidth="9.140625" defaultRowHeight="12.75" x14ac:dyDescent="0.2"/>
  <cols>
    <col min="1" max="1" width="31.28515625" style="1" customWidth="1"/>
    <col min="2" max="2" width="11.7109375" style="1" customWidth="1"/>
    <col min="3" max="3" width="10.28515625" style="1" customWidth="1"/>
    <col min="4" max="12" width="10.7109375" style="1" customWidth="1"/>
    <col min="13" max="13" width="12.140625" style="1" bestFit="1" customWidth="1"/>
    <col min="14" max="14" width="10.7109375" style="1" customWidth="1"/>
    <col min="15" max="15" width="10.5703125" style="1" customWidth="1"/>
    <col min="16" max="16" width="10.7109375" style="1" customWidth="1"/>
    <col min="17" max="16384" width="9.140625" style="1"/>
  </cols>
  <sheetData>
    <row r="1" spans="1:33" ht="15" customHeight="1" x14ac:dyDescent="0.2">
      <c r="A1" s="250" t="s">
        <v>191</v>
      </c>
      <c r="B1" s="250"/>
      <c r="C1" s="250"/>
      <c r="D1" s="250"/>
      <c r="E1" s="250"/>
      <c r="F1" s="250"/>
      <c r="G1" s="250"/>
      <c r="H1" s="250"/>
      <c r="I1" s="250"/>
      <c r="J1" s="250"/>
      <c r="K1" s="250"/>
      <c r="L1" s="250"/>
      <c r="M1" s="250"/>
      <c r="N1" s="250"/>
    </row>
    <row r="2" spans="1:33" ht="15" customHeight="1" x14ac:dyDescent="0.2">
      <c r="A2" s="251" t="s">
        <v>192</v>
      </c>
      <c r="B2" s="251"/>
      <c r="C2" s="251"/>
      <c r="D2" s="251"/>
      <c r="E2" s="251"/>
      <c r="F2" s="251"/>
      <c r="G2" s="251"/>
      <c r="H2" s="251"/>
      <c r="I2" s="251"/>
      <c r="J2" s="251"/>
      <c r="K2" s="251"/>
      <c r="L2" s="251"/>
      <c r="M2" s="251"/>
      <c r="N2" s="251"/>
    </row>
    <row r="3" spans="1:33" s="7" customFormat="1" ht="19.5" x14ac:dyDescent="0.4">
      <c r="A3" s="26" t="s">
        <v>126</v>
      </c>
      <c r="B3" s="26"/>
      <c r="C3" s="26"/>
      <c r="N3" s="202"/>
      <c r="AB3" s="24" t="s">
        <v>27</v>
      </c>
      <c r="AG3" s="21"/>
    </row>
    <row r="4" spans="1:33" ht="14.25" x14ac:dyDescent="0.2">
      <c r="A4" s="46"/>
      <c r="B4" s="46"/>
      <c r="C4" s="46"/>
      <c r="H4" s="259" t="s">
        <v>26</v>
      </c>
      <c r="I4" s="260"/>
      <c r="J4" s="260"/>
      <c r="K4" s="260"/>
      <c r="L4" s="260"/>
      <c r="M4" s="261"/>
      <c r="AB4" s="25" t="s">
        <v>28</v>
      </c>
      <c r="AG4" s="19"/>
    </row>
    <row r="5" spans="1:33" ht="15" customHeight="1" x14ac:dyDescent="0.2">
      <c r="A5" s="3" t="s">
        <v>4</v>
      </c>
      <c r="B5" s="236" t="str">
        <f>E36</f>
        <v>Snohomish County PUD</v>
      </c>
      <c r="C5" s="236"/>
      <c r="D5" s="236"/>
      <c r="H5" s="29"/>
      <c r="I5" s="7"/>
      <c r="J5" s="7"/>
      <c r="K5" s="7"/>
      <c r="L5" s="28" t="s">
        <v>99</v>
      </c>
      <c r="M5" s="195">
        <v>6486109</v>
      </c>
      <c r="N5" s="191"/>
      <c r="AB5" s="25" t="s">
        <v>29</v>
      </c>
      <c r="AG5" s="19"/>
    </row>
    <row r="6" spans="1:33" ht="15" customHeight="1" thickBot="1" x14ac:dyDescent="0.25">
      <c r="A6" s="4" t="s">
        <v>41</v>
      </c>
      <c r="B6" s="255"/>
      <c r="C6" s="255"/>
      <c r="D6" s="255"/>
      <c r="H6" s="29"/>
      <c r="I6" s="7"/>
      <c r="J6" s="7"/>
      <c r="K6" s="7"/>
      <c r="L6" s="28" t="s">
        <v>131</v>
      </c>
      <c r="M6" s="195">
        <v>6474983</v>
      </c>
      <c r="AB6" s="25" t="s">
        <v>30</v>
      </c>
      <c r="AG6" s="20"/>
    </row>
    <row r="7" spans="1:33" ht="15" customHeight="1" x14ac:dyDescent="0.2">
      <c r="A7" s="5" t="s">
        <v>0</v>
      </c>
      <c r="B7" s="256" t="s">
        <v>205</v>
      </c>
      <c r="C7" s="256"/>
      <c r="D7" s="256"/>
      <c r="H7" s="29"/>
      <c r="I7" s="7"/>
      <c r="J7" s="7"/>
      <c r="K7" s="7"/>
      <c r="L7" s="28" t="s">
        <v>224</v>
      </c>
      <c r="M7" s="196">
        <f>IF(REN_Load_2015+REN_Load_2014&gt;0,AVERAGE(REN_Load_2015,REN_Load_2014),0)</f>
        <v>6480546</v>
      </c>
    </row>
    <row r="8" spans="1:33" ht="15" customHeight="1" x14ac:dyDescent="0.2">
      <c r="A8" s="5" t="s">
        <v>1</v>
      </c>
      <c r="B8" s="256" t="s">
        <v>206</v>
      </c>
      <c r="C8" s="256"/>
      <c r="D8" s="256"/>
      <c r="H8" s="29"/>
      <c r="I8" s="7"/>
      <c r="J8" s="7"/>
      <c r="K8" s="7"/>
      <c r="L8" s="28" t="s">
        <v>132</v>
      </c>
      <c r="M8" s="162">
        <v>0.09</v>
      </c>
    </row>
    <row r="9" spans="1:33" ht="15" customHeight="1" x14ac:dyDescent="0.2">
      <c r="A9" s="5" t="s">
        <v>2</v>
      </c>
      <c r="B9" s="257" t="s">
        <v>207</v>
      </c>
      <c r="C9" s="258"/>
      <c r="D9" s="258"/>
      <c r="H9" s="33"/>
      <c r="I9" s="7"/>
      <c r="J9" s="7"/>
      <c r="K9" s="7"/>
      <c r="L9" s="28" t="s">
        <v>140</v>
      </c>
      <c r="M9" s="196">
        <f>ROUND(M7*M8,0)</f>
        <v>583249</v>
      </c>
    </row>
    <row r="10" spans="1:33" ht="15" customHeight="1" x14ac:dyDescent="0.2">
      <c r="A10" s="5"/>
      <c r="B10" s="5"/>
      <c r="C10" s="5"/>
      <c r="D10" s="18"/>
      <c r="H10" s="30"/>
      <c r="I10" s="31"/>
      <c r="J10" s="31"/>
      <c r="K10" s="31"/>
      <c r="L10" s="32" t="s">
        <v>133</v>
      </c>
      <c r="M10" s="192">
        <f>SUM(C20:N20)</f>
        <v>1090500.4412765675</v>
      </c>
    </row>
    <row r="11" spans="1:33" ht="15" customHeight="1" x14ac:dyDescent="0.2">
      <c r="A11" s="3" t="s">
        <v>127</v>
      </c>
      <c r="B11" s="42"/>
      <c r="C11" s="42"/>
    </row>
    <row r="12" spans="1:33" ht="15" customHeight="1" x14ac:dyDescent="0.2">
      <c r="B12" s="46"/>
      <c r="C12" s="46"/>
      <c r="F12" s="262" t="s">
        <v>138</v>
      </c>
      <c r="G12" s="263"/>
      <c r="H12" s="263"/>
      <c r="I12" s="263"/>
      <c r="J12" s="263"/>
      <c r="K12" s="263"/>
      <c r="L12" s="263"/>
      <c r="M12" s="264"/>
    </row>
    <row r="13" spans="1:33" s="22" customFormat="1" ht="14.25" customHeight="1" x14ac:dyDescent="0.25">
      <c r="A13" s="1"/>
      <c r="B13" s="23"/>
      <c r="C13" s="23"/>
      <c r="F13" s="29" t="s">
        <v>72</v>
      </c>
      <c r="G13" s="36"/>
      <c r="H13" s="36"/>
      <c r="I13" s="36"/>
      <c r="J13" s="36"/>
      <c r="K13" s="36"/>
      <c r="L13" s="7"/>
      <c r="M13" s="44">
        <f>'Renewable Cost Report'!K29+'Renewable Cost Report'!E55</f>
        <v>34344111.35988386</v>
      </c>
    </row>
    <row r="14" spans="1:33" x14ac:dyDescent="0.2">
      <c r="B14" s="46"/>
      <c r="C14" s="46"/>
      <c r="F14" s="29" t="s">
        <v>139</v>
      </c>
      <c r="G14" s="34"/>
      <c r="H14" s="34"/>
      <c r="I14" s="34"/>
      <c r="J14" s="34"/>
      <c r="K14" s="7"/>
      <c r="L14" s="7"/>
      <c r="M14" s="122">
        <v>592231000</v>
      </c>
      <c r="N14" s="191"/>
    </row>
    <row r="15" spans="1:33" x14ac:dyDescent="0.2">
      <c r="F15" s="37" t="s">
        <v>73</v>
      </c>
      <c r="G15" s="35"/>
      <c r="H15" s="35"/>
      <c r="I15" s="35"/>
      <c r="J15" s="35"/>
      <c r="K15" s="31"/>
      <c r="L15" s="31"/>
      <c r="M15" s="45">
        <f>IF(REN_RetailRevenueRequirement_2016&gt;0,REN_Expenditure_Amount_2016/REN_RetailRevenueRequirement_2016,"")</f>
        <v>5.7991073347872471E-2</v>
      </c>
    </row>
    <row r="16" spans="1:33" ht="17.45" customHeight="1" x14ac:dyDescent="0.2">
      <c r="H16" s="277"/>
      <c r="I16" s="277"/>
      <c r="J16" s="277"/>
      <c r="K16" s="277"/>
      <c r="L16" s="277"/>
      <c r="M16" s="16"/>
      <c r="N16" s="11"/>
      <c r="O16" s="11"/>
    </row>
    <row r="17" spans="1:33" ht="36" customHeight="1" x14ac:dyDescent="0.2">
      <c r="A17" s="9"/>
      <c r="C17" s="52" t="s">
        <v>14</v>
      </c>
      <c r="D17" s="53" t="s">
        <v>15</v>
      </c>
      <c r="E17" s="53" t="s">
        <v>172</v>
      </c>
      <c r="F17" s="53" t="s">
        <v>173</v>
      </c>
      <c r="G17" s="53" t="s">
        <v>16</v>
      </c>
      <c r="H17" s="53" t="s">
        <v>23</v>
      </c>
      <c r="I17" s="53" t="s">
        <v>17</v>
      </c>
      <c r="J17" s="53" t="s">
        <v>171</v>
      </c>
      <c r="K17" s="53" t="s">
        <v>175</v>
      </c>
      <c r="L17" s="60" t="s">
        <v>176</v>
      </c>
      <c r="M17" s="52" t="s">
        <v>184</v>
      </c>
      <c r="N17" s="54" t="s">
        <v>185</v>
      </c>
      <c r="O17" s="11"/>
    </row>
    <row r="18" spans="1:33" ht="15" customHeight="1" x14ac:dyDescent="0.2">
      <c r="B18" s="4" t="s">
        <v>25</v>
      </c>
      <c r="C18" s="55">
        <f t="shared" ref="C18:L18" si="0">SUMIF($C40:$C60,C$17,$E40:$E60)</f>
        <v>1347</v>
      </c>
      <c r="D18" s="49">
        <f t="shared" si="0"/>
        <v>485137.44127656752</v>
      </c>
      <c r="E18" s="49">
        <f t="shared" si="0"/>
        <v>0</v>
      </c>
      <c r="F18" s="49">
        <f t="shared" si="0"/>
        <v>0</v>
      </c>
      <c r="G18" s="49">
        <f t="shared" si="0"/>
        <v>0</v>
      </c>
      <c r="H18" s="49">
        <f t="shared" si="0"/>
        <v>0</v>
      </c>
      <c r="I18" s="49">
        <f t="shared" si="0"/>
        <v>0</v>
      </c>
      <c r="J18" s="49">
        <f t="shared" si="0"/>
        <v>0</v>
      </c>
      <c r="K18" s="49">
        <f t="shared" si="0"/>
        <v>0</v>
      </c>
      <c r="L18" s="61">
        <f t="shared" si="0"/>
        <v>0</v>
      </c>
      <c r="M18" s="55">
        <f>SUM(F40:F60)</f>
        <v>0</v>
      </c>
      <c r="N18" s="56"/>
      <c r="O18" s="74"/>
    </row>
    <row r="19" spans="1:33" ht="16.5" customHeight="1" x14ac:dyDescent="0.2">
      <c r="B19" s="4" t="s">
        <v>18</v>
      </c>
      <c r="C19" s="57"/>
      <c r="D19" s="50">
        <f t="shared" ref="D19:L19" si="1">SUMIF($D67:$D91,D$17,$G67:$G91)</f>
        <v>506051</v>
      </c>
      <c r="E19" s="50">
        <f t="shared" si="1"/>
        <v>8180</v>
      </c>
      <c r="F19" s="50">
        <f t="shared" si="1"/>
        <v>0</v>
      </c>
      <c r="G19" s="50">
        <f t="shared" si="1"/>
        <v>13</v>
      </c>
      <c r="H19" s="50">
        <f t="shared" si="1"/>
        <v>0</v>
      </c>
      <c r="I19" s="50">
        <f t="shared" si="1"/>
        <v>0</v>
      </c>
      <c r="J19" s="50">
        <f t="shared" si="1"/>
        <v>0</v>
      </c>
      <c r="K19" s="50">
        <f t="shared" si="1"/>
        <v>40796</v>
      </c>
      <c r="L19" s="62">
        <f t="shared" si="1"/>
        <v>0</v>
      </c>
      <c r="M19" s="63">
        <f>SUM(H67:H91)</f>
        <v>0</v>
      </c>
      <c r="N19" s="58">
        <f>SUM(I67:I91)</f>
        <v>48976</v>
      </c>
      <c r="O19" s="11"/>
    </row>
    <row r="20" spans="1:33" ht="16.5" customHeight="1" x14ac:dyDescent="0.2">
      <c r="B20" s="5" t="s">
        <v>130</v>
      </c>
      <c r="C20" s="59">
        <f>C18</f>
        <v>1347</v>
      </c>
      <c r="D20" s="51">
        <f t="shared" ref="D20:L20" si="2">D18+D19</f>
        <v>991188.44127656752</v>
      </c>
      <c r="E20" s="51">
        <f t="shared" si="2"/>
        <v>8180</v>
      </c>
      <c r="F20" s="51">
        <f t="shared" si="2"/>
        <v>0</v>
      </c>
      <c r="G20" s="51">
        <f t="shared" si="2"/>
        <v>13</v>
      </c>
      <c r="H20" s="51">
        <f t="shared" si="2"/>
        <v>0</v>
      </c>
      <c r="I20" s="51">
        <f t="shared" si="2"/>
        <v>0</v>
      </c>
      <c r="J20" s="51">
        <f t="shared" si="2"/>
        <v>0</v>
      </c>
      <c r="K20" s="51">
        <f t="shared" si="2"/>
        <v>40796</v>
      </c>
      <c r="L20" s="51">
        <f t="shared" si="2"/>
        <v>0</v>
      </c>
      <c r="M20" s="59">
        <f>M18+M19</f>
        <v>0</v>
      </c>
      <c r="N20" s="58">
        <f>N19</f>
        <v>48976</v>
      </c>
      <c r="O20" s="11"/>
    </row>
    <row r="21" spans="1:33" ht="16.5" customHeight="1" x14ac:dyDescent="0.2">
      <c r="K21" s="7"/>
      <c r="L21" s="4"/>
      <c r="M21" s="17"/>
      <c r="N21" s="11"/>
      <c r="O21" s="11"/>
    </row>
    <row r="22" spans="1:33" ht="21.75" customHeight="1" x14ac:dyDescent="0.2">
      <c r="K22" s="7"/>
      <c r="L22" s="4"/>
      <c r="M22" s="17"/>
      <c r="N22" s="11"/>
      <c r="O22" s="11"/>
    </row>
    <row r="23" spans="1:33" ht="15" customHeight="1" x14ac:dyDescent="0.2">
      <c r="A23" s="28"/>
      <c r="B23" s="28"/>
      <c r="C23" s="28"/>
      <c r="D23" s="28"/>
      <c r="E23" s="28"/>
      <c r="F23" s="28"/>
      <c r="H23" s="7"/>
      <c r="I23" s="7"/>
      <c r="J23" s="7"/>
      <c r="K23" s="7"/>
      <c r="L23" s="4"/>
      <c r="M23" s="17"/>
      <c r="N23" s="11"/>
      <c r="O23" s="11"/>
    </row>
    <row r="24" spans="1:33" ht="15" customHeight="1" x14ac:dyDescent="0.2"/>
    <row r="25" spans="1:33" s="10" customFormat="1" x14ac:dyDescent="0.2">
      <c r="AG25" s="1"/>
    </row>
    <row r="26" spans="1:33" ht="15" customHeight="1" x14ac:dyDescent="0.2">
      <c r="AG26" s="10"/>
    </row>
    <row r="27" spans="1:33" ht="15" customHeight="1" x14ac:dyDescent="0.2">
      <c r="AG27" s="10"/>
    </row>
    <row r="28" spans="1:33" ht="15" customHeight="1" x14ac:dyDescent="0.2">
      <c r="AG28" s="10"/>
    </row>
    <row r="29" spans="1:33" ht="15" customHeight="1" x14ac:dyDescent="0.2">
      <c r="AG29" s="10"/>
    </row>
    <row r="30" spans="1:33" ht="15" customHeight="1" x14ac:dyDescent="0.2">
      <c r="AG30" s="10"/>
    </row>
    <row r="31" spans="1:33" ht="15" customHeight="1" x14ac:dyDescent="0.2">
      <c r="AG31" s="10"/>
    </row>
    <row r="32" spans="1:33" ht="15" customHeight="1" x14ac:dyDescent="0.2">
      <c r="AG32" s="10"/>
    </row>
    <row r="33" spans="1:33" ht="15" customHeight="1" x14ac:dyDescent="0.2"/>
    <row r="34" spans="1:33" ht="15" customHeight="1" x14ac:dyDescent="0.2"/>
    <row r="35" spans="1:33" ht="15" customHeight="1" x14ac:dyDescent="0.2"/>
    <row r="36" spans="1:33" ht="16.5" customHeight="1" x14ac:dyDescent="0.2">
      <c r="A36" s="296" t="s">
        <v>22</v>
      </c>
      <c r="B36" s="6"/>
      <c r="C36" s="6"/>
      <c r="D36" s="9" t="s">
        <v>4</v>
      </c>
      <c r="E36" s="278" t="s">
        <v>204</v>
      </c>
      <c r="F36" s="279"/>
      <c r="G36" s="280"/>
      <c r="L36" s="191"/>
    </row>
    <row r="37" spans="1:33" ht="15" customHeight="1" x14ac:dyDescent="0.2">
      <c r="A37" s="296"/>
      <c r="D37" s="9" t="s">
        <v>13</v>
      </c>
      <c r="E37" s="290">
        <v>2016</v>
      </c>
      <c r="F37" s="291"/>
      <c r="G37" s="292"/>
    </row>
    <row r="38" spans="1:33" ht="15" customHeight="1" x14ac:dyDescent="0.2">
      <c r="D38" s="9"/>
      <c r="E38" s="42"/>
      <c r="F38" s="8"/>
      <c r="G38" s="8"/>
    </row>
    <row r="39" spans="1:33" s="10" customFormat="1" ht="52.5" customHeight="1" x14ac:dyDescent="0.2">
      <c r="A39" s="27" t="s">
        <v>19</v>
      </c>
      <c r="B39" s="64" t="s">
        <v>31</v>
      </c>
      <c r="C39" s="47" t="s">
        <v>174</v>
      </c>
      <c r="D39" s="65" t="s">
        <v>177</v>
      </c>
      <c r="E39" s="47" t="s">
        <v>189</v>
      </c>
      <c r="F39" s="47" t="s">
        <v>188</v>
      </c>
      <c r="G39" s="295" t="s">
        <v>183</v>
      </c>
      <c r="H39" s="295"/>
      <c r="I39" s="295"/>
      <c r="J39" s="295"/>
      <c r="K39" s="295"/>
      <c r="L39" s="202"/>
      <c r="M39" s="14"/>
      <c r="N39" s="14"/>
      <c r="AG39" s="7"/>
    </row>
    <row r="40" spans="1:33" s="201" customFormat="1" ht="29.25" customHeight="1" x14ac:dyDescent="0.2">
      <c r="A40" s="197" t="s">
        <v>197</v>
      </c>
      <c r="B40" s="197"/>
      <c r="C40" s="197" t="s">
        <v>14</v>
      </c>
      <c r="D40" s="198" t="s">
        <v>178</v>
      </c>
      <c r="E40" s="199">
        <f>1844-497</f>
        <v>1347</v>
      </c>
      <c r="F40" s="200">
        <f>IF(D40="Yes",0.2*E40,0)</f>
        <v>0</v>
      </c>
      <c r="G40" s="271" t="s">
        <v>227</v>
      </c>
      <c r="H40" s="272"/>
      <c r="I40" s="272"/>
      <c r="J40" s="272"/>
      <c r="K40" s="273"/>
      <c r="L40" s="203"/>
      <c r="M40" s="204"/>
      <c r="N40" s="204"/>
      <c r="O40" s="204"/>
      <c r="P40" s="204"/>
      <c r="Q40" s="204"/>
      <c r="R40" s="204"/>
    </row>
    <row r="41" spans="1:33" ht="27.75" customHeight="1" x14ac:dyDescent="0.2">
      <c r="A41" s="219" t="str">
        <f>A80</f>
        <v>White Creek Wind</v>
      </c>
      <c r="B41" s="219" t="str">
        <f>B80</f>
        <v>W360</v>
      </c>
      <c r="C41" s="186" t="s">
        <v>15</v>
      </c>
      <c r="D41" s="79" t="s">
        <v>178</v>
      </c>
      <c r="E41" s="123">
        <v>53048.271765903039</v>
      </c>
      <c r="F41" s="66">
        <f t="shared" ref="F41:F60" si="3">IF(D41="Yes",0.2*E41,0)</f>
        <v>0</v>
      </c>
      <c r="G41" s="274" t="s">
        <v>226</v>
      </c>
      <c r="H41" s="275"/>
      <c r="I41" s="275"/>
      <c r="J41" s="275"/>
      <c r="K41" s="276"/>
      <c r="L41" s="14"/>
      <c r="M41" s="14"/>
      <c r="N41" s="14"/>
    </row>
    <row r="42" spans="1:33" ht="27" customHeight="1" x14ac:dyDescent="0.2">
      <c r="A42" s="219" t="str">
        <f t="shared" ref="A42:B43" si="4">A81</f>
        <v>Hay Canyon Wind</v>
      </c>
      <c r="B42" s="219" t="str">
        <f t="shared" si="4"/>
        <v>W978</v>
      </c>
      <c r="C42" s="186" t="s">
        <v>15</v>
      </c>
      <c r="D42" s="79" t="s">
        <v>178</v>
      </c>
      <c r="E42" s="123">
        <v>221452.46649786283</v>
      </c>
      <c r="F42" s="66">
        <f t="shared" si="3"/>
        <v>0</v>
      </c>
      <c r="G42" s="274" t="s">
        <v>226</v>
      </c>
      <c r="H42" s="275"/>
      <c r="I42" s="275"/>
      <c r="J42" s="275"/>
      <c r="K42" s="276"/>
      <c r="L42" s="14"/>
      <c r="M42" s="14"/>
      <c r="N42" s="14"/>
    </row>
    <row r="43" spans="1:33" ht="28.5" customHeight="1" x14ac:dyDescent="0.2">
      <c r="A43" s="219" t="str">
        <f t="shared" si="4"/>
        <v>Wheat Field Wind</v>
      </c>
      <c r="B43" s="219" t="str">
        <f t="shared" si="4"/>
        <v>W806</v>
      </c>
      <c r="C43" s="187" t="s">
        <v>15</v>
      </c>
      <c r="D43" s="79" t="s">
        <v>178</v>
      </c>
      <c r="E43" s="123">
        <v>210636.70301280165</v>
      </c>
      <c r="F43" s="66">
        <f t="shared" si="3"/>
        <v>0</v>
      </c>
      <c r="G43" s="274" t="s">
        <v>226</v>
      </c>
      <c r="H43" s="275"/>
      <c r="I43" s="275"/>
      <c r="J43" s="275"/>
      <c r="K43" s="276"/>
      <c r="L43" s="14"/>
      <c r="M43" s="14"/>
      <c r="N43" s="14"/>
    </row>
    <row r="44" spans="1:33" ht="15" customHeight="1" x14ac:dyDescent="0.2">
      <c r="A44" s="187"/>
      <c r="B44" s="187"/>
      <c r="C44" s="186"/>
      <c r="D44" s="79"/>
      <c r="E44" s="123"/>
      <c r="F44" s="66">
        <f t="shared" si="3"/>
        <v>0</v>
      </c>
      <c r="G44" s="268"/>
      <c r="H44" s="269"/>
      <c r="I44" s="269"/>
      <c r="J44" s="269"/>
      <c r="K44" s="270"/>
      <c r="L44" s="14"/>
      <c r="M44" s="14"/>
      <c r="N44" s="14"/>
    </row>
    <row r="45" spans="1:33" ht="15" customHeight="1" x14ac:dyDescent="0.2">
      <c r="A45" s="187"/>
      <c r="B45" s="187"/>
      <c r="C45" s="190"/>
      <c r="D45" s="79"/>
      <c r="E45" s="123"/>
      <c r="F45" s="66">
        <f t="shared" si="3"/>
        <v>0</v>
      </c>
      <c r="G45" s="268"/>
      <c r="H45" s="269"/>
      <c r="I45" s="269"/>
      <c r="J45" s="269"/>
      <c r="K45" s="270"/>
      <c r="L45" s="14"/>
      <c r="M45" s="14"/>
      <c r="N45" s="14"/>
    </row>
    <row r="46" spans="1:33" ht="15" customHeight="1" x14ac:dyDescent="0.2">
      <c r="A46" s="193"/>
      <c r="B46" s="194"/>
      <c r="C46" s="190"/>
      <c r="D46" s="79"/>
      <c r="E46" s="123"/>
      <c r="F46" s="66">
        <f t="shared" si="3"/>
        <v>0</v>
      </c>
      <c r="G46" s="268"/>
      <c r="H46" s="269"/>
      <c r="I46" s="269"/>
      <c r="J46" s="269"/>
      <c r="K46" s="270"/>
      <c r="L46" s="14"/>
      <c r="M46" s="14"/>
      <c r="N46" s="14"/>
    </row>
    <row r="47" spans="1:33" ht="15" customHeight="1" x14ac:dyDescent="0.2">
      <c r="A47" s="129"/>
      <c r="B47" s="130"/>
      <c r="C47" s="190"/>
      <c r="D47" s="79"/>
      <c r="E47" s="123"/>
      <c r="F47" s="66">
        <f t="shared" si="3"/>
        <v>0</v>
      </c>
      <c r="G47" s="268"/>
      <c r="H47" s="269"/>
      <c r="I47" s="269"/>
      <c r="J47" s="269"/>
      <c r="K47" s="270"/>
      <c r="L47" s="14"/>
      <c r="M47" s="14"/>
      <c r="N47" s="14"/>
    </row>
    <row r="48" spans="1:33" ht="15" customHeight="1" x14ac:dyDescent="0.2">
      <c r="A48" s="129"/>
      <c r="B48" s="130"/>
      <c r="C48" s="190"/>
      <c r="D48" s="79"/>
      <c r="E48" s="123"/>
      <c r="F48" s="66">
        <f t="shared" si="3"/>
        <v>0</v>
      </c>
      <c r="G48" s="268"/>
      <c r="H48" s="269"/>
      <c r="I48" s="269"/>
      <c r="J48" s="269"/>
      <c r="K48" s="270"/>
      <c r="L48" s="14"/>
      <c r="M48" s="14"/>
      <c r="N48" s="14"/>
    </row>
    <row r="49" spans="1:14" ht="15" customHeight="1" x14ac:dyDescent="0.2">
      <c r="A49" s="129"/>
      <c r="B49" s="130"/>
      <c r="C49" s="190"/>
      <c r="D49" s="79"/>
      <c r="E49" s="123"/>
      <c r="F49" s="66">
        <f t="shared" si="3"/>
        <v>0</v>
      </c>
      <c r="G49" s="268"/>
      <c r="H49" s="269"/>
      <c r="I49" s="269"/>
      <c r="J49" s="269"/>
      <c r="K49" s="270"/>
      <c r="L49" s="14"/>
      <c r="M49" s="14"/>
      <c r="N49" s="14"/>
    </row>
    <row r="50" spans="1:14" ht="15" customHeight="1" x14ac:dyDescent="0.2">
      <c r="A50" s="129"/>
      <c r="B50" s="130"/>
      <c r="C50" s="190"/>
      <c r="D50" s="79"/>
      <c r="E50" s="123"/>
      <c r="F50" s="66">
        <f t="shared" si="3"/>
        <v>0</v>
      </c>
      <c r="G50" s="268"/>
      <c r="H50" s="269"/>
      <c r="I50" s="269"/>
      <c r="J50" s="269"/>
      <c r="K50" s="270"/>
      <c r="L50" s="14"/>
      <c r="M50" s="14"/>
      <c r="N50" s="14"/>
    </row>
    <row r="51" spans="1:14" ht="15" customHeight="1" x14ac:dyDescent="0.2">
      <c r="A51" s="124"/>
      <c r="B51" s="125"/>
      <c r="C51" s="188"/>
      <c r="D51" s="79"/>
      <c r="E51" s="123"/>
      <c r="F51" s="66">
        <f t="shared" si="3"/>
        <v>0</v>
      </c>
      <c r="G51" s="268"/>
      <c r="H51" s="269"/>
      <c r="I51" s="269"/>
      <c r="J51" s="269"/>
      <c r="K51" s="270"/>
      <c r="L51" s="14"/>
      <c r="M51" s="14"/>
      <c r="N51" s="14"/>
    </row>
    <row r="52" spans="1:14" ht="15" customHeight="1" x14ac:dyDescent="0.2">
      <c r="A52" s="124"/>
      <c r="B52" s="125"/>
      <c r="C52" s="188"/>
      <c r="D52" s="79"/>
      <c r="E52" s="123"/>
      <c r="F52" s="66">
        <f t="shared" si="3"/>
        <v>0</v>
      </c>
      <c r="G52" s="268"/>
      <c r="H52" s="269"/>
      <c r="I52" s="269"/>
      <c r="J52" s="269"/>
      <c r="K52" s="270"/>
      <c r="L52" s="14"/>
      <c r="M52" s="14"/>
      <c r="N52" s="14"/>
    </row>
    <row r="53" spans="1:14" ht="15" customHeight="1" x14ac:dyDescent="0.2">
      <c r="A53" s="124"/>
      <c r="B53" s="125"/>
      <c r="C53" s="188"/>
      <c r="D53" s="79"/>
      <c r="E53" s="123"/>
      <c r="F53" s="66">
        <f t="shared" si="3"/>
        <v>0</v>
      </c>
      <c r="G53" s="268"/>
      <c r="H53" s="269"/>
      <c r="I53" s="269"/>
      <c r="J53" s="269"/>
      <c r="K53" s="270"/>
      <c r="L53" s="14"/>
      <c r="M53" s="14"/>
      <c r="N53" s="14"/>
    </row>
    <row r="54" spans="1:14" ht="15" customHeight="1" x14ac:dyDescent="0.2">
      <c r="A54" s="124"/>
      <c r="B54" s="125"/>
      <c r="C54" s="188"/>
      <c r="D54" s="79"/>
      <c r="E54" s="123"/>
      <c r="F54" s="66">
        <f t="shared" si="3"/>
        <v>0</v>
      </c>
      <c r="G54" s="268"/>
      <c r="H54" s="269"/>
      <c r="I54" s="269"/>
      <c r="J54" s="269"/>
      <c r="K54" s="270"/>
      <c r="L54" s="14"/>
      <c r="M54" s="14"/>
      <c r="N54" s="14"/>
    </row>
    <row r="55" spans="1:14" ht="15" customHeight="1" x14ac:dyDescent="0.2">
      <c r="A55" s="124"/>
      <c r="B55" s="125"/>
      <c r="C55" s="188"/>
      <c r="D55" s="79"/>
      <c r="E55" s="123"/>
      <c r="F55" s="66">
        <f t="shared" si="3"/>
        <v>0</v>
      </c>
      <c r="G55" s="268"/>
      <c r="H55" s="269"/>
      <c r="I55" s="269"/>
      <c r="J55" s="269"/>
      <c r="K55" s="270"/>
      <c r="L55" s="14"/>
      <c r="M55" s="14"/>
      <c r="N55" s="14"/>
    </row>
    <row r="56" spans="1:14" ht="15" customHeight="1" x14ac:dyDescent="0.2">
      <c r="A56" s="124"/>
      <c r="B56" s="125"/>
      <c r="C56" s="188"/>
      <c r="D56" s="79"/>
      <c r="E56" s="123"/>
      <c r="F56" s="66">
        <f t="shared" si="3"/>
        <v>0</v>
      </c>
      <c r="G56" s="268"/>
      <c r="H56" s="269"/>
      <c r="I56" s="269"/>
      <c r="J56" s="269"/>
      <c r="K56" s="270"/>
      <c r="L56" s="14"/>
      <c r="M56" s="14"/>
      <c r="N56" s="14"/>
    </row>
    <row r="57" spans="1:14" ht="15" customHeight="1" x14ac:dyDescent="0.2">
      <c r="A57" s="124"/>
      <c r="B57" s="125"/>
      <c r="C57" s="188"/>
      <c r="D57" s="79"/>
      <c r="E57" s="123"/>
      <c r="F57" s="66">
        <f t="shared" si="3"/>
        <v>0</v>
      </c>
      <c r="G57" s="268"/>
      <c r="H57" s="269"/>
      <c r="I57" s="269"/>
      <c r="J57" s="269"/>
      <c r="K57" s="270"/>
      <c r="L57" s="14"/>
      <c r="M57" s="14"/>
      <c r="N57" s="14"/>
    </row>
    <row r="58" spans="1:14" ht="15" customHeight="1" x14ac:dyDescent="0.2">
      <c r="A58" s="124"/>
      <c r="B58" s="125"/>
      <c r="C58" s="188"/>
      <c r="D58" s="79"/>
      <c r="E58" s="123"/>
      <c r="F58" s="66">
        <f t="shared" si="3"/>
        <v>0</v>
      </c>
      <c r="G58" s="268"/>
      <c r="H58" s="269"/>
      <c r="I58" s="269"/>
      <c r="J58" s="269"/>
      <c r="K58" s="270"/>
      <c r="L58" s="14"/>
      <c r="M58" s="14"/>
      <c r="N58" s="14"/>
    </row>
    <row r="59" spans="1:14" ht="15" customHeight="1" x14ac:dyDescent="0.2">
      <c r="A59" s="124"/>
      <c r="B59" s="125"/>
      <c r="C59" s="188"/>
      <c r="D59" s="79"/>
      <c r="E59" s="123"/>
      <c r="F59" s="66">
        <f t="shared" si="3"/>
        <v>0</v>
      </c>
      <c r="G59" s="268"/>
      <c r="H59" s="269"/>
      <c r="I59" s="269"/>
      <c r="J59" s="269"/>
      <c r="K59" s="270"/>
      <c r="L59" s="14"/>
      <c r="M59" s="14"/>
      <c r="N59" s="14"/>
    </row>
    <row r="60" spans="1:14" ht="15" customHeight="1" x14ac:dyDescent="0.2">
      <c r="A60" s="126"/>
      <c r="B60" s="127"/>
      <c r="C60" s="189"/>
      <c r="D60" s="128"/>
      <c r="E60" s="77"/>
      <c r="F60" s="67">
        <f t="shared" si="3"/>
        <v>0</v>
      </c>
      <c r="G60" s="265"/>
      <c r="H60" s="266"/>
      <c r="I60" s="266"/>
      <c r="J60" s="266"/>
      <c r="K60" s="267"/>
      <c r="L60" s="14"/>
      <c r="M60" s="14"/>
      <c r="N60" s="14"/>
    </row>
    <row r="61" spans="1:14" ht="15" customHeight="1" x14ac:dyDescent="0.2">
      <c r="D61" s="7"/>
      <c r="E61" s="7"/>
      <c r="F61" s="7"/>
      <c r="G61" s="7"/>
      <c r="H61" s="7"/>
      <c r="I61" s="7"/>
      <c r="J61" s="7"/>
      <c r="K61" s="7"/>
      <c r="L61" s="7"/>
      <c r="M61" s="7"/>
    </row>
    <row r="62" spans="1:14" ht="17.25" customHeight="1" x14ac:dyDescent="0.2">
      <c r="A62" s="296" t="s">
        <v>18</v>
      </c>
      <c r="B62" s="296"/>
      <c r="C62" s="6"/>
      <c r="D62" s="9" t="s">
        <v>4</v>
      </c>
      <c r="E62" s="278" t="str">
        <f>E36</f>
        <v>Snohomish County PUD</v>
      </c>
      <c r="F62" s="279"/>
      <c r="G62" s="280"/>
      <c r="L62" s="191"/>
    </row>
    <row r="63" spans="1:14" ht="15" customHeight="1" x14ac:dyDescent="0.2">
      <c r="A63" s="296"/>
      <c r="B63" s="296"/>
      <c r="D63" s="9" t="s">
        <v>13</v>
      </c>
      <c r="E63" s="290">
        <v>2016</v>
      </c>
      <c r="F63" s="291"/>
      <c r="G63" s="292"/>
    </row>
    <row r="64" spans="1:14" ht="15" customHeight="1" x14ac:dyDescent="0.2">
      <c r="A64" s="9"/>
      <c r="B64" s="9"/>
      <c r="C64" s="9"/>
      <c r="D64" s="9"/>
      <c r="G64" s="13"/>
      <c r="H64" s="7"/>
    </row>
    <row r="65" spans="1:33" s="10" customFormat="1" ht="38.25" customHeight="1" x14ac:dyDescent="0.2">
      <c r="A65" s="9"/>
      <c r="B65" s="297" t="s">
        <v>31</v>
      </c>
      <c r="C65" s="297" t="s">
        <v>128</v>
      </c>
      <c r="D65" s="293" t="s">
        <v>174</v>
      </c>
      <c r="E65" s="293" t="s">
        <v>177</v>
      </c>
      <c r="F65" s="293" t="s">
        <v>180</v>
      </c>
      <c r="G65" s="73" t="s">
        <v>182</v>
      </c>
      <c r="H65" s="73" t="s">
        <v>179</v>
      </c>
      <c r="I65" s="73" t="s">
        <v>181</v>
      </c>
      <c r="J65" s="299" t="s">
        <v>183</v>
      </c>
      <c r="K65" s="299"/>
      <c r="L65" s="299"/>
      <c r="M65" s="299"/>
      <c r="N65" s="14"/>
      <c r="O65" s="14"/>
      <c r="AG65" s="7"/>
    </row>
    <row r="66" spans="1:33" ht="15" customHeight="1" x14ac:dyDescent="0.2">
      <c r="A66" s="27" t="s">
        <v>19</v>
      </c>
      <c r="B66" s="298"/>
      <c r="C66" s="298"/>
      <c r="D66" s="294"/>
      <c r="E66" s="294"/>
      <c r="F66" s="294"/>
      <c r="G66" s="12" t="s">
        <v>129</v>
      </c>
      <c r="H66" s="48" t="s">
        <v>32</v>
      </c>
      <c r="I66" s="48" t="s">
        <v>32</v>
      </c>
      <c r="J66" s="299"/>
      <c r="K66" s="299"/>
      <c r="L66" s="299"/>
      <c r="M66" s="299"/>
      <c r="N66" s="202"/>
      <c r="O66" s="14"/>
      <c r="AG66" s="10"/>
    </row>
    <row r="67" spans="1:33" ht="32.25" customHeight="1" x14ac:dyDescent="0.2">
      <c r="A67" s="129" t="s">
        <v>198</v>
      </c>
      <c r="B67" s="130" t="s">
        <v>223</v>
      </c>
      <c r="C67" s="216">
        <v>2016</v>
      </c>
      <c r="D67" s="186" t="s">
        <v>175</v>
      </c>
      <c r="E67" s="79" t="s">
        <v>178</v>
      </c>
      <c r="F67" s="79" t="s">
        <v>211</v>
      </c>
      <c r="G67" s="132">
        <v>17873</v>
      </c>
      <c r="H67" s="137">
        <f t="shared" ref="H67:H90" si="5">IF(E67="Yes",0.2*G67,0)</f>
        <v>0</v>
      </c>
      <c r="I67" s="137">
        <f>G67</f>
        <v>17873</v>
      </c>
      <c r="J67" s="252" t="s">
        <v>226</v>
      </c>
      <c r="K67" s="253"/>
      <c r="L67" s="253"/>
      <c r="M67" s="254"/>
      <c r="N67" s="205"/>
      <c r="O67" s="206"/>
      <c r="P67" s="206"/>
      <c r="Q67" s="206"/>
      <c r="R67" s="206"/>
      <c r="S67" s="206"/>
      <c r="T67" s="11"/>
    </row>
    <row r="68" spans="1:33" ht="33.75" customHeight="1" x14ac:dyDescent="0.2">
      <c r="A68" s="129" t="s">
        <v>199</v>
      </c>
      <c r="B68" s="130" t="s">
        <v>203</v>
      </c>
      <c r="C68" s="216">
        <v>2016</v>
      </c>
      <c r="D68" s="190" t="s">
        <v>175</v>
      </c>
      <c r="E68" s="79" t="s">
        <v>178</v>
      </c>
      <c r="F68" s="79" t="s">
        <v>211</v>
      </c>
      <c r="G68" s="132">
        <v>3442</v>
      </c>
      <c r="H68" s="137">
        <f>IF(E68="Yes",0.2*G68,0)</f>
        <v>0</v>
      </c>
      <c r="I68" s="137">
        <f>IF(F68="Yes",G68,0)</f>
        <v>3442</v>
      </c>
      <c r="J68" s="252" t="s">
        <v>226</v>
      </c>
      <c r="K68" s="253"/>
      <c r="L68" s="253"/>
      <c r="M68" s="254"/>
      <c r="N68" s="242"/>
      <c r="O68" s="243"/>
    </row>
    <row r="69" spans="1:33" ht="15" customHeight="1" x14ac:dyDescent="0.2">
      <c r="A69" s="129" t="s">
        <v>208</v>
      </c>
      <c r="B69" s="130" t="s">
        <v>225</v>
      </c>
      <c r="C69" s="216">
        <v>2016</v>
      </c>
      <c r="D69" s="186" t="s">
        <v>172</v>
      </c>
      <c r="E69" s="79" t="s">
        <v>178</v>
      </c>
      <c r="F69" s="79" t="s">
        <v>211</v>
      </c>
      <c r="G69" s="132">
        <v>4090</v>
      </c>
      <c r="H69" s="137">
        <f t="shared" si="5"/>
        <v>0</v>
      </c>
      <c r="I69" s="137">
        <f>G69</f>
        <v>4090</v>
      </c>
      <c r="J69" s="281" t="s">
        <v>230</v>
      </c>
      <c r="K69" s="282"/>
      <c r="L69" s="282"/>
      <c r="M69" s="283"/>
      <c r="N69" s="248"/>
      <c r="O69" s="249"/>
      <c r="P69" s="249"/>
    </row>
    <row r="70" spans="1:33" ht="15" customHeight="1" x14ac:dyDescent="0.2">
      <c r="A70" s="129" t="s">
        <v>228</v>
      </c>
      <c r="B70" s="130" t="s">
        <v>229</v>
      </c>
      <c r="C70" s="216">
        <v>2016</v>
      </c>
      <c r="D70" s="186" t="s">
        <v>15</v>
      </c>
      <c r="E70" s="213" t="s">
        <v>178</v>
      </c>
      <c r="F70" s="213" t="s">
        <v>178</v>
      </c>
      <c r="G70" s="132">
        <v>3985</v>
      </c>
      <c r="H70" s="137"/>
      <c r="I70" s="137"/>
      <c r="J70" s="284"/>
      <c r="K70" s="285"/>
      <c r="L70" s="285"/>
      <c r="M70" s="286"/>
      <c r="N70" s="209"/>
      <c r="O70" s="210"/>
      <c r="P70" s="210"/>
    </row>
    <row r="71" spans="1:33" ht="15" customHeight="1" x14ac:dyDescent="0.2">
      <c r="A71" s="129" t="s">
        <v>209</v>
      </c>
      <c r="B71" s="130" t="s">
        <v>210</v>
      </c>
      <c r="C71" s="216">
        <v>2016</v>
      </c>
      <c r="D71" s="187" t="s">
        <v>15</v>
      </c>
      <c r="E71" s="79" t="s">
        <v>178</v>
      </c>
      <c r="F71" s="79" t="s">
        <v>178</v>
      </c>
      <c r="G71" s="132">
        <v>4575</v>
      </c>
      <c r="H71" s="137">
        <f t="shared" si="5"/>
        <v>0</v>
      </c>
      <c r="I71" s="137">
        <f t="shared" ref="I71:I91" si="6">IF(F71="Yes",G71,0)</f>
        <v>0</v>
      </c>
      <c r="J71" s="284"/>
      <c r="K71" s="285"/>
      <c r="L71" s="285"/>
      <c r="M71" s="286"/>
      <c r="N71" s="240"/>
      <c r="O71" s="241"/>
    </row>
    <row r="72" spans="1:33" ht="15" customHeight="1" x14ac:dyDescent="0.2">
      <c r="A72" s="129" t="s">
        <v>212</v>
      </c>
      <c r="B72" s="130" t="s">
        <v>213</v>
      </c>
      <c r="C72" s="216">
        <v>2016</v>
      </c>
      <c r="D72" s="186" t="s">
        <v>15</v>
      </c>
      <c r="E72" s="79" t="s">
        <v>178</v>
      </c>
      <c r="F72" s="79" t="s">
        <v>178</v>
      </c>
      <c r="G72" s="132">
        <v>5307</v>
      </c>
      <c r="H72" s="137">
        <f t="shared" si="5"/>
        <v>0</v>
      </c>
      <c r="I72" s="137">
        <f t="shared" si="6"/>
        <v>0</v>
      </c>
      <c r="J72" s="284"/>
      <c r="K72" s="285"/>
      <c r="L72" s="285"/>
      <c r="M72" s="286"/>
      <c r="N72" s="240"/>
      <c r="O72" s="241"/>
    </row>
    <row r="73" spans="1:33" ht="15" customHeight="1" x14ac:dyDescent="0.2">
      <c r="A73" s="129" t="s">
        <v>214</v>
      </c>
      <c r="B73" s="130" t="s">
        <v>215</v>
      </c>
      <c r="C73" s="216">
        <v>2016</v>
      </c>
      <c r="D73" s="190" t="s">
        <v>15</v>
      </c>
      <c r="E73" s="79" t="s">
        <v>178</v>
      </c>
      <c r="F73" s="79" t="s">
        <v>178</v>
      </c>
      <c r="G73" s="132">
        <v>10846</v>
      </c>
      <c r="H73" s="137">
        <f t="shared" si="5"/>
        <v>0</v>
      </c>
      <c r="I73" s="137">
        <f t="shared" si="6"/>
        <v>0</v>
      </c>
      <c r="J73" s="284"/>
      <c r="K73" s="285"/>
      <c r="L73" s="285"/>
      <c r="M73" s="286"/>
      <c r="N73" s="240"/>
      <c r="O73" s="241"/>
    </row>
    <row r="74" spans="1:33" ht="15" customHeight="1" x14ac:dyDescent="0.2">
      <c r="A74" s="129" t="s">
        <v>216</v>
      </c>
      <c r="B74" s="130" t="s">
        <v>217</v>
      </c>
      <c r="C74" s="216">
        <v>2016</v>
      </c>
      <c r="D74" s="190" t="s">
        <v>15</v>
      </c>
      <c r="E74" s="79" t="s">
        <v>178</v>
      </c>
      <c r="F74" s="79" t="s">
        <v>178</v>
      </c>
      <c r="G74" s="132">
        <v>15128</v>
      </c>
      <c r="H74" s="137">
        <f t="shared" si="5"/>
        <v>0</v>
      </c>
      <c r="I74" s="137">
        <f t="shared" si="6"/>
        <v>0</v>
      </c>
      <c r="J74" s="287"/>
      <c r="K74" s="288"/>
      <c r="L74" s="288"/>
      <c r="M74" s="289"/>
      <c r="N74" s="240"/>
      <c r="O74" s="241"/>
    </row>
    <row r="75" spans="1:33" ht="15" customHeight="1" x14ac:dyDescent="0.2">
      <c r="A75" s="129"/>
      <c r="B75" s="130"/>
      <c r="C75" s="217"/>
      <c r="D75" s="188"/>
      <c r="E75" s="79" t="s">
        <v>178</v>
      </c>
      <c r="F75" s="79" t="s">
        <v>178</v>
      </c>
      <c r="G75" s="132"/>
      <c r="H75" s="137">
        <f t="shared" si="5"/>
        <v>0</v>
      </c>
      <c r="I75" s="137">
        <f t="shared" si="6"/>
        <v>0</v>
      </c>
      <c r="J75" s="268"/>
      <c r="K75" s="269"/>
      <c r="L75" s="269"/>
      <c r="M75" s="270"/>
      <c r="N75" s="14"/>
      <c r="O75" s="14"/>
    </row>
    <row r="76" spans="1:33" ht="15" customHeight="1" x14ac:dyDescent="0.2">
      <c r="A76" s="129" t="s">
        <v>218</v>
      </c>
      <c r="B76" s="130" t="s">
        <v>219</v>
      </c>
      <c r="C76" s="216">
        <v>2015</v>
      </c>
      <c r="D76" s="190" t="s">
        <v>16</v>
      </c>
      <c r="E76" s="79" t="s">
        <v>178</v>
      </c>
      <c r="F76" s="79" t="s">
        <v>178</v>
      </c>
      <c r="G76" s="132">
        <v>13</v>
      </c>
      <c r="H76" s="137">
        <f t="shared" si="5"/>
        <v>0</v>
      </c>
      <c r="I76" s="137">
        <f t="shared" si="6"/>
        <v>0</v>
      </c>
      <c r="J76" s="268"/>
      <c r="K76" s="269"/>
      <c r="L76" s="269"/>
      <c r="M76" s="270"/>
      <c r="N76" s="240"/>
      <c r="O76" s="241"/>
      <c r="P76" s="241"/>
    </row>
    <row r="77" spans="1:33" ht="15" customHeight="1" x14ac:dyDescent="0.2">
      <c r="A77" s="129" t="str">
        <f t="shared" ref="A77:B79" si="7">A67</f>
        <v>Hampton Generating Unit</v>
      </c>
      <c r="B77" s="130" t="str">
        <f t="shared" si="7"/>
        <v>W2794</v>
      </c>
      <c r="C77" s="216">
        <v>2015</v>
      </c>
      <c r="D77" s="190" t="s">
        <v>175</v>
      </c>
      <c r="E77" s="79" t="s">
        <v>178</v>
      </c>
      <c r="F77" s="79" t="s">
        <v>211</v>
      </c>
      <c r="G77" s="132">
        <v>17478</v>
      </c>
      <c r="H77" s="137">
        <f t="shared" si="5"/>
        <v>0</v>
      </c>
      <c r="I77" s="137">
        <f t="shared" si="6"/>
        <v>17478</v>
      </c>
      <c r="J77" s="268"/>
      <c r="K77" s="269"/>
      <c r="L77" s="269"/>
      <c r="M77" s="270"/>
      <c r="N77" s="240"/>
      <c r="O77" s="241"/>
      <c r="P77" s="241"/>
    </row>
    <row r="78" spans="1:33" ht="15" customHeight="1" x14ac:dyDescent="0.2">
      <c r="A78" s="129" t="str">
        <f t="shared" si="7"/>
        <v>Qualco Energy Corporation</v>
      </c>
      <c r="B78" s="130" t="str">
        <f t="shared" si="7"/>
        <v>W3954</v>
      </c>
      <c r="C78" s="216">
        <v>2015</v>
      </c>
      <c r="D78" s="190" t="s">
        <v>175</v>
      </c>
      <c r="E78" s="79" t="s">
        <v>178</v>
      </c>
      <c r="F78" s="79" t="s">
        <v>211</v>
      </c>
      <c r="G78" s="132">
        <v>2003</v>
      </c>
      <c r="H78" s="137">
        <f>IF(E78="Yes",0.2*G78,0)</f>
        <v>0</v>
      </c>
      <c r="I78" s="137">
        <f>IF(F78="Yes",G78,0)</f>
        <v>2003</v>
      </c>
      <c r="J78" s="268"/>
      <c r="K78" s="269"/>
      <c r="L78" s="269"/>
      <c r="M78" s="270"/>
      <c r="N78" s="240"/>
      <c r="O78" s="241"/>
      <c r="P78" s="241"/>
    </row>
    <row r="79" spans="1:33" ht="15" customHeight="1" x14ac:dyDescent="0.2">
      <c r="A79" s="129" t="str">
        <f t="shared" si="7"/>
        <v>Snohomish PUD Solar Express Projects</v>
      </c>
      <c r="B79" s="130" t="str">
        <f t="shared" si="7"/>
        <v>W3708-3713, 4046-4047, 4634-4637</v>
      </c>
      <c r="C79" s="216">
        <v>2015</v>
      </c>
      <c r="D79" s="190" t="s">
        <v>172</v>
      </c>
      <c r="E79" s="79" t="s">
        <v>178</v>
      </c>
      <c r="F79" s="79" t="s">
        <v>211</v>
      </c>
      <c r="G79" s="132">
        <v>4090</v>
      </c>
      <c r="H79" s="137">
        <f>IF(E79="Yes",0.2*G79,0)</f>
        <v>0</v>
      </c>
      <c r="I79" s="137">
        <f>IF(F79="Yes",G79,0)</f>
        <v>4090</v>
      </c>
      <c r="J79" s="268"/>
      <c r="K79" s="269"/>
      <c r="L79" s="269"/>
      <c r="M79" s="270"/>
      <c r="N79" s="242"/>
      <c r="O79" s="243"/>
      <c r="P79" s="243"/>
    </row>
    <row r="80" spans="1:33" ht="15" customHeight="1" x14ac:dyDescent="0.2">
      <c r="A80" s="129" t="s">
        <v>220</v>
      </c>
      <c r="B80" s="130" t="s">
        <v>202</v>
      </c>
      <c r="C80" s="216">
        <v>2015</v>
      </c>
      <c r="D80" s="190" t="s">
        <v>15</v>
      </c>
      <c r="E80" s="79" t="s">
        <v>178</v>
      </c>
      <c r="F80" s="79" t="s">
        <v>178</v>
      </c>
      <c r="G80" s="132">
        <v>47225</v>
      </c>
      <c r="H80" s="137">
        <f t="shared" si="5"/>
        <v>0</v>
      </c>
      <c r="I80" s="137">
        <f t="shared" si="6"/>
        <v>0</v>
      </c>
      <c r="J80" s="268"/>
      <c r="K80" s="269"/>
      <c r="L80" s="269"/>
      <c r="M80" s="270"/>
      <c r="N80" s="246"/>
      <c r="O80" s="247"/>
      <c r="P80" s="247"/>
    </row>
    <row r="81" spans="1:16" ht="15" customHeight="1" x14ac:dyDescent="0.2">
      <c r="A81" s="129" t="s">
        <v>221</v>
      </c>
      <c r="B81" s="130" t="s">
        <v>200</v>
      </c>
      <c r="C81" s="216">
        <v>2015</v>
      </c>
      <c r="D81" s="190" t="s">
        <v>15</v>
      </c>
      <c r="E81" s="79" t="s">
        <v>178</v>
      </c>
      <c r="F81" s="79" t="s">
        <v>178</v>
      </c>
      <c r="G81" s="132">
        <v>196799</v>
      </c>
      <c r="H81" s="137">
        <f t="shared" si="5"/>
        <v>0</v>
      </c>
      <c r="I81" s="137">
        <f t="shared" si="6"/>
        <v>0</v>
      </c>
      <c r="J81" s="268" t="s">
        <v>231</v>
      </c>
      <c r="K81" s="269"/>
      <c r="L81" s="269"/>
      <c r="M81" s="270"/>
      <c r="N81" s="240"/>
      <c r="O81" s="241"/>
      <c r="P81" s="241"/>
    </row>
    <row r="82" spans="1:16" ht="15" customHeight="1" x14ac:dyDescent="0.2">
      <c r="A82" s="129" t="s">
        <v>222</v>
      </c>
      <c r="B82" s="130" t="s">
        <v>201</v>
      </c>
      <c r="C82" s="216">
        <v>2015</v>
      </c>
      <c r="D82" s="190" t="s">
        <v>15</v>
      </c>
      <c r="E82" s="79" t="s">
        <v>178</v>
      </c>
      <c r="F82" s="79" t="s">
        <v>178</v>
      </c>
      <c r="G82" s="132">
        <v>182345</v>
      </c>
      <c r="H82" s="137">
        <f t="shared" si="5"/>
        <v>0</v>
      </c>
      <c r="I82" s="137">
        <f t="shared" si="6"/>
        <v>0</v>
      </c>
      <c r="J82" s="268" t="s">
        <v>231</v>
      </c>
      <c r="K82" s="269"/>
      <c r="L82" s="269"/>
      <c r="M82" s="270"/>
      <c r="N82" s="240"/>
      <c r="O82" s="241"/>
      <c r="P82" s="241"/>
    </row>
    <row r="83" spans="1:16" ht="15" customHeight="1" x14ac:dyDescent="0.2">
      <c r="A83" s="129" t="s">
        <v>228</v>
      </c>
      <c r="B83" s="130" t="s">
        <v>229</v>
      </c>
      <c r="C83" s="216">
        <v>2015</v>
      </c>
      <c r="D83" s="190" t="s">
        <v>15</v>
      </c>
      <c r="E83" s="213" t="s">
        <v>178</v>
      </c>
      <c r="F83" s="213" t="s">
        <v>178</v>
      </c>
      <c r="G83" s="132">
        <v>3985</v>
      </c>
      <c r="H83" s="137">
        <f t="shared" si="5"/>
        <v>0</v>
      </c>
      <c r="I83" s="137">
        <f t="shared" si="6"/>
        <v>0</v>
      </c>
      <c r="J83" s="211"/>
      <c r="K83" s="212"/>
      <c r="L83" s="212"/>
      <c r="M83" s="213"/>
      <c r="N83" s="207"/>
      <c r="O83" s="208"/>
      <c r="P83" s="208"/>
    </row>
    <row r="84" spans="1:16" ht="15" customHeight="1" x14ac:dyDescent="0.2">
      <c r="A84" s="129" t="s">
        <v>209</v>
      </c>
      <c r="B84" s="130" t="s">
        <v>210</v>
      </c>
      <c r="C84" s="216">
        <v>2015</v>
      </c>
      <c r="D84" s="190" t="s">
        <v>15</v>
      </c>
      <c r="E84" s="79" t="s">
        <v>178</v>
      </c>
      <c r="F84" s="79" t="s">
        <v>178</v>
      </c>
      <c r="G84" s="132">
        <v>4575</v>
      </c>
      <c r="H84" s="137">
        <f t="shared" si="5"/>
        <v>0</v>
      </c>
      <c r="I84" s="137">
        <f t="shared" si="6"/>
        <v>0</v>
      </c>
      <c r="J84" s="268"/>
      <c r="K84" s="269"/>
      <c r="L84" s="269"/>
      <c r="M84" s="270"/>
      <c r="N84" s="244"/>
      <c r="O84" s="245"/>
      <c r="P84" s="245"/>
    </row>
    <row r="85" spans="1:16" ht="15" customHeight="1" x14ac:dyDescent="0.2">
      <c r="A85" s="129" t="s">
        <v>212</v>
      </c>
      <c r="B85" s="130" t="s">
        <v>213</v>
      </c>
      <c r="C85" s="216">
        <v>2015</v>
      </c>
      <c r="D85" s="190" t="s">
        <v>15</v>
      </c>
      <c r="E85" s="79" t="s">
        <v>178</v>
      </c>
      <c r="F85" s="79" t="s">
        <v>178</v>
      </c>
      <c r="G85" s="132">
        <v>5307</v>
      </c>
      <c r="H85" s="137">
        <f t="shared" si="5"/>
        <v>0</v>
      </c>
      <c r="I85" s="137">
        <f t="shared" si="6"/>
        <v>0</v>
      </c>
      <c r="J85" s="268"/>
      <c r="K85" s="269"/>
      <c r="L85" s="269"/>
      <c r="M85" s="270"/>
      <c r="N85" s="244"/>
      <c r="O85" s="245"/>
      <c r="P85" s="245"/>
    </row>
    <row r="86" spans="1:16" ht="15" customHeight="1" x14ac:dyDescent="0.2">
      <c r="A86" s="129" t="s">
        <v>214</v>
      </c>
      <c r="B86" s="130" t="s">
        <v>215</v>
      </c>
      <c r="C86" s="216">
        <v>2015</v>
      </c>
      <c r="D86" s="190" t="s">
        <v>15</v>
      </c>
      <c r="E86" s="79" t="s">
        <v>178</v>
      </c>
      <c r="F86" s="79" t="s">
        <v>178</v>
      </c>
      <c r="G86" s="132">
        <v>10846</v>
      </c>
      <c r="H86" s="137">
        <f t="shared" si="5"/>
        <v>0</v>
      </c>
      <c r="I86" s="137">
        <f t="shared" si="6"/>
        <v>0</v>
      </c>
      <c r="J86" s="268"/>
      <c r="K86" s="269"/>
      <c r="L86" s="269"/>
      <c r="M86" s="270"/>
      <c r="N86" s="244"/>
      <c r="O86" s="245"/>
      <c r="P86" s="245"/>
    </row>
    <row r="87" spans="1:16" ht="15" customHeight="1" x14ac:dyDescent="0.2">
      <c r="A87" s="129" t="s">
        <v>216</v>
      </c>
      <c r="B87" s="130" t="s">
        <v>217</v>
      </c>
      <c r="C87" s="216">
        <v>2015</v>
      </c>
      <c r="D87" s="190" t="s">
        <v>15</v>
      </c>
      <c r="E87" s="79" t="s">
        <v>178</v>
      </c>
      <c r="F87" s="79" t="s">
        <v>178</v>
      </c>
      <c r="G87" s="132">
        <v>15128</v>
      </c>
      <c r="H87" s="137">
        <f t="shared" si="5"/>
        <v>0</v>
      </c>
      <c r="I87" s="137">
        <f t="shared" si="6"/>
        <v>0</v>
      </c>
      <c r="J87" s="268"/>
      <c r="K87" s="269"/>
      <c r="L87" s="269"/>
      <c r="M87" s="270"/>
      <c r="N87" s="244"/>
      <c r="O87" s="245"/>
      <c r="P87" s="245"/>
    </row>
    <row r="88" spans="1:16" ht="15" customHeight="1" x14ac:dyDescent="0.2">
      <c r="A88" s="129"/>
      <c r="B88" s="130"/>
      <c r="C88" s="217"/>
      <c r="D88" s="188"/>
      <c r="E88" s="79" t="s">
        <v>178</v>
      </c>
      <c r="F88" s="79" t="s">
        <v>178</v>
      </c>
      <c r="G88" s="132"/>
      <c r="H88" s="137">
        <f t="shared" si="5"/>
        <v>0</v>
      </c>
      <c r="I88" s="137">
        <f t="shared" si="6"/>
        <v>0</v>
      </c>
      <c r="J88" s="268"/>
      <c r="K88" s="269"/>
      <c r="L88" s="269"/>
      <c r="M88" s="270"/>
      <c r="N88" s="14"/>
      <c r="O88" s="14"/>
    </row>
    <row r="89" spans="1:16" ht="15" customHeight="1" x14ac:dyDescent="0.2">
      <c r="A89" s="129"/>
      <c r="B89" s="130"/>
      <c r="C89" s="131"/>
      <c r="D89" s="188"/>
      <c r="E89" s="79" t="s">
        <v>178</v>
      </c>
      <c r="F89" s="79" t="s">
        <v>178</v>
      </c>
      <c r="G89" s="132"/>
      <c r="H89" s="137">
        <f t="shared" si="5"/>
        <v>0</v>
      </c>
      <c r="I89" s="137">
        <f t="shared" si="6"/>
        <v>0</v>
      </c>
      <c r="J89" s="268"/>
      <c r="K89" s="269"/>
      <c r="L89" s="269"/>
      <c r="M89" s="270"/>
      <c r="N89" s="14"/>
      <c r="O89" s="14"/>
    </row>
    <row r="90" spans="1:16" ht="15" customHeight="1" x14ac:dyDescent="0.2">
      <c r="A90" s="129"/>
      <c r="B90" s="130"/>
      <c r="C90" s="131"/>
      <c r="D90" s="188"/>
      <c r="E90" s="79" t="s">
        <v>178</v>
      </c>
      <c r="F90" s="79" t="s">
        <v>178</v>
      </c>
      <c r="G90" s="132"/>
      <c r="H90" s="137">
        <f t="shared" si="5"/>
        <v>0</v>
      </c>
      <c r="I90" s="137">
        <f t="shared" si="6"/>
        <v>0</v>
      </c>
      <c r="J90" s="268"/>
      <c r="K90" s="269"/>
      <c r="L90" s="269"/>
      <c r="M90" s="270"/>
      <c r="N90" s="14"/>
      <c r="O90" s="14"/>
    </row>
    <row r="91" spans="1:16" ht="15" customHeight="1" x14ac:dyDescent="0.2">
      <c r="A91" s="133"/>
      <c r="B91" s="134"/>
      <c r="C91" s="135"/>
      <c r="D91" s="189"/>
      <c r="E91" s="79" t="s">
        <v>178</v>
      </c>
      <c r="F91" s="79" t="s">
        <v>178</v>
      </c>
      <c r="G91" s="136"/>
      <c r="H91" s="50">
        <f>IF(E91="Yes",0.2*G91,0)</f>
        <v>0</v>
      </c>
      <c r="I91" s="137">
        <f t="shared" si="6"/>
        <v>0</v>
      </c>
      <c r="J91" s="268"/>
      <c r="K91" s="269"/>
      <c r="L91" s="269"/>
      <c r="M91" s="270"/>
      <c r="N91" s="14"/>
      <c r="O91" s="14"/>
    </row>
    <row r="92" spans="1:16" ht="15" customHeight="1" x14ac:dyDescent="0.2">
      <c r="N92" s="14"/>
      <c r="O92" s="14"/>
    </row>
    <row r="93" spans="1:16" ht="15" customHeight="1" x14ac:dyDescent="0.2">
      <c r="A93" s="10"/>
      <c r="B93" s="10"/>
      <c r="C93" s="10"/>
      <c r="D93" s="9" t="s">
        <v>4</v>
      </c>
      <c r="E93" s="278" t="str">
        <f>B5</f>
        <v>Snohomish County PUD</v>
      </c>
      <c r="F93" s="279"/>
      <c r="G93" s="280"/>
      <c r="N93" s="14"/>
      <c r="O93" s="14"/>
    </row>
    <row r="94" spans="1:16" ht="15" customHeight="1" x14ac:dyDescent="0.2">
      <c r="D94" s="9" t="s">
        <v>13</v>
      </c>
      <c r="E94" s="290">
        <v>2016</v>
      </c>
      <c r="F94" s="291"/>
      <c r="G94" s="292"/>
    </row>
    <row r="95" spans="1:16" x14ac:dyDescent="0.2">
      <c r="A95" s="2" t="s">
        <v>39</v>
      </c>
      <c r="B95" s="46"/>
      <c r="C95" s="46"/>
      <c r="D95" s="46"/>
      <c r="E95" s="46"/>
      <c r="F95" s="46"/>
      <c r="G95" s="46"/>
      <c r="H95" s="46"/>
      <c r="I95" s="46"/>
      <c r="J95" s="46"/>
      <c r="K95" s="46"/>
      <c r="L95" s="46"/>
    </row>
    <row r="96" spans="1:16" x14ac:dyDescent="0.2">
      <c r="A96" s="46"/>
      <c r="B96" s="46"/>
      <c r="C96" s="46"/>
      <c r="D96" s="46"/>
      <c r="E96" s="46"/>
      <c r="F96" s="46"/>
      <c r="G96" s="46"/>
      <c r="H96" s="46"/>
      <c r="I96" s="46"/>
      <c r="J96" s="46"/>
      <c r="K96" s="46"/>
      <c r="L96" s="46"/>
    </row>
    <row r="97" spans="1:12" x14ac:dyDescent="0.2">
      <c r="A97" s="46"/>
      <c r="B97" s="46"/>
      <c r="C97" s="46"/>
      <c r="D97" s="46"/>
      <c r="E97" s="46"/>
      <c r="F97" s="46"/>
      <c r="G97" s="46"/>
      <c r="H97" s="46"/>
      <c r="I97" s="46"/>
      <c r="J97" s="46"/>
      <c r="K97" s="46"/>
      <c r="L97" s="46"/>
    </row>
    <row r="98" spans="1:12" x14ac:dyDescent="0.2">
      <c r="A98" s="46"/>
      <c r="B98" s="46"/>
      <c r="C98" s="46"/>
      <c r="D98" s="46"/>
      <c r="E98" s="46"/>
      <c r="F98" s="46"/>
      <c r="G98" s="46"/>
      <c r="H98" s="46"/>
      <c r="I98" s="46"/>
      <c r="J98" s="46"/>
      <c r="K98" s="46"/>
      <c r="L98" s="46"/>
    </row>
    <row r="99" spans="1:12" x14ac:dyDescent="0.2">
      <c r="A99" s="46"/>
      <c r="B99" s="46"/>
      <c r="C99" s="46"/>
      <c r="D99" s="46"/>
      <c r="E99" s="46"/>
      <c r="F99" s="46"/>
      <c r="G99" s="46"/>
      <c r="H99" s="46"/>
      <c r="I99" s="46"/>
      <c r="J99" s="46"/>
      <c r="K99" s="46"/>
      <c r="L99" s="46"/>
    </row>
    <row r="100" spans="1:12" x14ac:dyDescent="0.2">
      <c r="A100" s="46"/>
      <c r="B100" s="46"/>
      <c r="C100" s="46"/>
      <c r="D100" s="46"/>
      <c r="E100" s="46"/>
      <c r="F100" s="46"/>
      <c r="G100" s="46"/>
      <c r="H100" s="46"/>
      <c r="I100" s="46"/>
      <c r="J100" s="46"/>
      <c r="K100" s="46"/>
      <c r="L100" s="46"/>
    </row>
    <row r="101" spans="1:12" x14ac:dyDescent="0.2">
      <c r="A101" s="46"/>
      <c r="B101" s="46"/>
      <c r="C101" s="46"/>
      <c r="D101" s="46"/>
      <c r="E101" s="46"/>
      <c r="F101" s="46"/>
      <c r="G101" s="46"/>
      <c r="H101" s="46"/>
      <c r="I101" s="46"/>
      <c r="J101" s="46"/>
      <c r="K101" s="46"/>
      <c r="L101" s="46"/>
    </row>
    <row r="102" spans="1:12" x14ac:dyDescent="0.2">
      <c r="A102" s="46"/>
      <c r="B102" s="46"/>
      <c r="C102" s="46"/>
      <c r="D102" s="46"/>
      <c r="E102" s="46"/>
      <c r="F102" s="46"/>
      <c r="G102" s="46"/>
      <c r="H102" s="46"/>
      <c r="I102" s="46"/>
      <c r="J102" s="46"/>
      <c r="K102" s="46"/>
      <c r="L102" s="46"/>
    </row>
    <row r="103" spans="1:12" x14ac:dyDescent="0.2">
      <c r="A103" s="46"/>
      <c r="B103" s="46"/>
      <c r="C103" s="46"/>
      <c r="D103" s="46"/>
      <c r="E103" s="46"/>
      <c r="F103" s="46"/>
      <c r="G103" s="46"/>
      <c r="H103" s="46"/>
      <c r="I103" s="46"/>
      <c r="J103" s="46"/>
      <c r="K103" s="46"/>
      <c r="L103" s="46"/>
    </row>
    <row r="104" spans="1:12" x14ac:dyDescent="0.2">
      <c r="A104" s="46"/>
      <c r="B104" s="46"/>
      <c r="C104" s="46"/>
      <c r="D104" s="46"/>
      <c r="E104" s="46"/>
      <c r="F104" s="46"/>
      <c r="G104" s="46"/>
      <c r="H104" s="46"/>
      <c r="I104" s="46"/>
      <c r="J104" s="46"/>
      <c r="K104" s="46"/>
      <c r="L104" s="46"/>
    </row>
    <row r="105" spans="1:12" x14ac:dyDescent="0.2">
      <c r="A105" s="46"/>
      <c r="B105" s="46"/>
      <c r="C105" s="46"/>
      <c r="D105" s="46"/>
      <c r="E105" s="46"/>
      <c r="F105" s="46"/>
      <c r="G105" s="46"/>
      <c r="H105" s="46"/>
      <c r="I105" s="46"/>
      <c r="J105" s="46"/>
      <c r="K105" s="46"/>
      <c r="L105" s="46"/>
    </row>
    <row r="106" spans="1:12" x14ac:dyDescent="0.2">
      <c r="A106" s="46"/>
      <c r="B106" s="46"/>
      <c r="C106" s="46"/>
      <c r="D106" s="46"/>
      <c r="E106" s="46"/>
      <c r="F106" s="46"/>
      <c r="G106" s="46"/>
      <c r="H106" s="46"/>
      <c r="I106" s="46"/>
      <c r="J106" s="46"/>
      <c r="K106" s="46"/>
      <c r="L106" s="46"/>
    </row>
    <row r="107" spans="1:12" x14ac:dyDescent="0.2">
      <c r="A107" s="46"/>
      <c r="B107" s="46"/>
      <c r="C107" s="46"/>
      <c r="D107" s="46"/>
      <c r="E107" s="46"/>
      <c r="F107" s="46"/>
      <c r="G107" s="46"/>
      <c r="H107" s="46"/>
      <c r="I107" s="46"/>
      <c r="J107" s="46"/>
      <c r="K107" s="46"/>
      <c r="L107" s="46"/>
    </row>
    <row r="108" spans="1:12" x14ac:dyDescent="0.2">
      <c r="A108" s="46"/>
      <c r="B108" s="46"/>
      <c r="C108" s="46"/>
      <c r="D108" s="46"/>
      <c r="E108" s="46"/>
      <c r="F108" s="46"/>
      <c r="G108" s="46"/>
      <c r="H108" s="46"/>
      <c r="I108" s="46"/>
      <c r="J108" s="46"/>
      <c r="K108" s="46"/>
      <c r="L108" s="46"/>
    </row>
    <row r="109" spans="1:12" x14ac:dyDescent="0.2">
      <c r="A109" s="46"/>
      <c r="B109" s="46"/>
      <c r="C109" s="46"/>
      <c r="D109" s="46"/>
      <c r="E109" s="46"/>
      <c r="F109" s="46"/>
      <c r="G109" s="46"/>
      <c r="H109" s="46"/>
      <c r="I109" s="46"/>
      <c r="J109" s="46"/>
      <c r="K109" s="46"/>
      <c r="L109" s="46"/>
    </row>
    <row r="110" spans="1:12" x14ac:dyDescent="0.2">
      <c r="A110" s="46"/>
      <c r="B110" s="46"/>
      <c r="C110" s="46"/>
      <c r="D110" s="46"/>
      <c r="E110" s="46"/>
      <c r="F110" s="46"/>
      <c r="G110" s="46"/>
      <c r="H110" s="46"/>
      <c r="I110" s="46"/>
      <c r="J110" s="46"/>
      <c r="K110" s="46"/>
      <c r="L110" s="46"/>
    </row>
    <row r="111" spans="1:12" x14ac:dyDescent="0.2">
      <c r="A111" s="46"/>
      <c r="B111" s="46"/>
      <c r="C111" s="46"/>
      <c r="D111" s="46"/>
      <c r="E111" s="46"/>
      <c r="F111" s="46"/>
      <c r="G111" s="46"/>
      <c r="H111" s="46"/>
      <c r="I111" s="46"/>
      <c r="J111" s="46"/>
      <c r="K111" s="46"/>
      <c r="L111" s="46"/>
    </row>
    <row r="112" spans="1:12" x14ac:dyDescent="0.2">
      <c r="A112" s="46"/>
      <c r="B112" s="46"/>
      <c r="C112" s="46"/>
      <c r="D112" s="46"/>
      <c r="E112" s="46"/>
      <c r="F112" s="46"/>
      <c r="G112" s="46"/>
      <c r="H112" s="46"/>
      <c r="I112" s="46"/>
      <c r="J112" s="46"/>
      <c r="K112" s="46"/>
      <c r="L112" s="46"/>
    </row>
    <row r="113" spans="1:12" x14ac:dyDescent="0.2">
      <c r="A113" s="46"/>
      <c r="B113" s="46"/>
      <c r="C113" s="46"/>
      <c r="D113" s="46"/>
      <c r="E113" s="46"/>
      <c r="F113" s="46"/>
      <c r="G113" s="46"/>
      <c r="H113" s="46"/>
      <c r="I113" s="46"/>
      <c r="J113" s="46"/>
      <c r="K113" s="46"/>
      <c r="L113" s="46"/>
    </row>
    <row r="114" spans="1:12" x14ac:dyDescent="0.2">
      <c r="A114" s="46"/>
      <c r="B114" s="46"/>
      <c r="C114" s="46"/>
      <c r="D114" s="46"/>
      <c r="E114" s="46"/>
      <c r="F114" s="46"/>
      <c r="G114" s="46"/>
      <c r="H114" s="46"/>
      <c r="I114" s="46"/>
      <c r="J114" s="46"/>
      <c r="K114" s="46"/>
      <c r="L114" s="46"/>
    </row>
    <row r="115" spans="1:12" x14ac:dyDescent="0.2">
      <c r="A115" s="46"/>
      <c r="B115" s="46"/>
      <c r="C115" s="46"/>
      <c r="D115" s="46"/>
      <c r="E115" s="46"/>
      <c r="F115" s="46"/>
      <c r="G115" s="46"/>
      <c r="H115" s="46"/>
      <c r="I115" s="46"/>
      <c r="J115" s="46"/>
      <c r="K115" s="46"/>
      <c r="L115" s="46"/>
    </row>
    <row r="116" spans="1:12" x14ac:dyDescent="0.2">
      <c r="A116" s="46"/>
      <c r="B116" s="46"/>
      <c r="C116" s="46"/>
      <c r="D116" s="46"/>
      <c r="E116" s="46"/>
      <c r="F116" s="46"/>
      <c r="G116" s="46"/>
      <c r="H116" s="46"/>
      <c r="I116" s="46"/>
      <c r="J116" s="46"/>
      <c r="K116" s="46"/>
      <c r="L116" s="46"/>
    </row>
  </sheetData>
  <mergeCells count="76">
    <mergeCell ref="G42:K42"/>
    <mergeCell ref="A36:A37"/>
    <mergeCell ref="A62:B63"/>
    <mergeCell ref="C65:C66"/>
    <mergeCell ref="B65:B66"/>
    <mergeCell ref="D65:D66"/>
    <mergeCell ref="G58:K58"/>
    <mergeCell ref="G59:K59"/>
    <mergeCell ref="F65:F66"/>
    <mergeCell ref="J65:M66"/>
    <mergeCell ref="H16:L16"/>
    <mergeCell ref="E62:G62"/>
    <mergeCell ref="J69:M74"/>
    <mergeCell ref="E93:G93"/>
    <mergeCell ref="E94:G94"/>
    <mergeCell ref="E36:G36"/>
    <mergeCell ref="E37:G37"/>
    <mergeCell ref="E65:E66"/>
    <mergeCell ref="E63:G63"/>
    <mergeCell ref="G52:K52"/>
    <mergeCell ref="G53:K53"/>
    <mergeCell ref="G54:K54"/>
    <mergeCell ref="G39:K39"/>
    <mergeCell ref="J75:M75"/>
    <mergeCell ref="G56:K56"/>
    <mergeCell ref="G57:K57"/>
    <mergeCell ref="J76:M76"/>
    <mergeCell ref="J77:M77"/>
    <mergeCell ref="J80:M80"/>
    <mergeCell ref="J81:M81"/>
    <mergeCell ref="J88:M88"/>
    <mergeCell ref="J82:M82"/>
    <mergeCell ref="J79:M79"/>
    <mergeCell ref="J84:M84"/>
    <mergeCell ref="J85:M85"/>
    <mergeCell ref="J86:M86"/>
    <mergeCell ref="J91:M91"/>
    <mergeCell ref="G40:K40"/>
    <mergeCell ref="G41:K41"/>
    <mergeCell ref="G43:K43"/>
    <mergeCell ref="G44:K44"/>
    <mergeCell ref="G45:K45"/>
    <mergeCell ref="G46:K46"/>
    <mergeCell ref="G47:K47"/>
    <mergeCell ref="G48:K48"/>
    <mergeCell ref="G49:K49"/>
    <mergeCell ref="G50:K50"/>
    <mergeCell ref="G51:K51"/>
    <mergeCell ref="J87:M87"/>
    <mergeCell ref="J78:M78"/>
    <mergeCell ref="J89:M89"/>
    <mergeCell ref="J90:M90"/>
    <mergeCell ref="N68:O68"/>
    <mergeCell ref="N71:O74"/>
    <mergeCell ref="N69:P69"/>
    <mergeCell ref="A1:N1"/>
    <mergeCell ref="A2:N2"/>
    <mergeCell ref="J68:M68"/>
    <mergeCell ref="B5:D5"/>
    <mergeCell ref="B6:D6"/>
    <mergeCell ref="B7:D7"/>
    <mergeCell ref="B8:D8"/>
    <mergeCell ref="B9:D9"/>
    <mergeCell ref="H4:M4"/>
    <mergeCell ref="F12:M12"/>
    <mergeCell ref="J67:M67"/>
    <mergeCell ref="G60:K60"/>
    <mergeCell ref="G55:K55"/>
    <mergeCell ref="N82:P82"/>
    <mergeCell ref="N79:P79"/>
    <mergeCell ref="N84:P87"/>
    <mergeCell ref="N78:P78"/>
    <mergeCell ref="N76:P76"/>
    <mergeCell ref="N77:P77"/>
    <mergeCell ref="N80:P80"/>
    <mergeCell ref="N81:P81"/>
  </mergeCells>
  <dataValidations xWindow="766" yWindow="927" count="5">
    <dataValidation type="list" allowBlank="1" showInputMessage="1" showErrorMessage="1" promptTitle="Resource Type" prompt="Select from the drop down menu. Use scroll bar on the right side of the box to see the entire list of eligible resource types." sqref="C40:C60 D67:D91">
      <formula1>ResourceType</formula1>
    </dataValidation>
    <dataValidation type="list" allowBlank="1" showInputMessage="1" showErrorMessage="1" promptTitle="Apprentice Labor Eligibility" prompt="Use the drop down box to select &quot;Yes&quot; if the resource is eligible for the apprentice labor additional credit. The amount is equal to 20 percent of the MWh reported and will be calculated." sqref="D40:D60 E67:E91">
      <formula1>"Yes,No"</formula1>
    </dataValidation>
    <dataValidation allowBlank="1" showErrorMessage="1" sqref="A14"/>
    <dataValidation type="list" allowBlank="1" showInputMessage="1" showErrorMessage="1" promptTitle="Distributed Generation Eligibili" prompt="Use the drop down box to select &quot;Yes&quot; if the resource is eligible for the distributed generation additional credit. The amount is equal to 100 percent of the MWh reported and will be calculated." sqref="F67:F91">
      <formula1>"Yes,No"</formula1>
    </dataValidation>
    <dataValidation type="list" allowBlank="1" showInputMessage="1" showErrorMessage="1" error="REC Vintage must be 2015, 2016, or 2017. List each vintage year separately." sqref="C67:C91">
      <formula1>"2015,2016,2017"</formula1>
    </dataValidation>
  </dataValidations>
  <hyperlinks>
    <hyperlink ref="B9" r:id="rId1"/>
  </hyperlinks>
  <pageMargins left="0.7" right="0.7" top="0.75" bottom="0.75" header="0.3" footer="0.3"/>
  <pageSetup scale="71" fitToHeight="0" orientation="landscape" r:id="rId2"/>
  <rowBreaks count="3" manualBreakCount="3">
    <brk id="34" max="13" man="1"/>
    <brk id="61" max="13" man="1"/>
    <brk id="91" max="13" man="1"/>
  </rowBreaks>
  <drawing r:id="rId3"/>
  <legacyDrawing r:id="rId4"/>
  <mc:AlternateContent xmlns:mc="http://schemas.openxmlformats.org/markup-compatibility/2006">
    <mc:Choice Requires="x14">
      <controls>
        <mc:AlternateContent xmlns:mc="http://schemas.openxmlformats.org/markup-compatibility/2006">
          <mc:Choice Requires="x14">
            <control shapeId="5453" r:id="rId5" name="Check Box 333">
              <controlPr defaultSize="0" autoFill="0" autoLine="0" autoPict="0">
                <anchor moveWithCells="1" sizeWithCells="1">
                  <from>
                    <xdr:col>0</xdr:col>
                    <xdr:colOff>733425</xdr:colOff>
                    <xdr:row>15</xdr:row>
                    <xdr:rowOff>9525</xdr:rowOff>
                  </from>
                  <to>
                    <xdr:col>3</xdr:col>
                    <xdr:colOff>428625</xdr:colOff>
                    <xdr:row>15</xdr:row>
                    <xdr:rowOff>123825</xdr:rowOff>
                  </to>
                </anchor>
              </controlPr>
            </control>
          </mc:Choice>
        </mc:AlternateContent>
        <mc:AlternateContent xmlns:mc="http://schemas.openxmlformats.org/markup-compatibility/2006">
          <mc:Choice Requires="x14">
            <control shapeId="5454" r:id="rId6" name="Check Box 334">
              <controlPr defaultSize="0" autoFill="0" autoLine="0" autoPict="0">
                <anchor moveWithCells="1" sizeWithCells="1">
                  <from>
                    <xdr:col>0</xdr:col>
                    <xdr:colOff>733425</xdr:colOff>
                    <xdr:row>12</xdr:row>
                    <xdr:rowOff>171450</xdr:rowOff>
                  </from>
                  <to>
                    <xdr:col>3</xdr:col>
                    <xdr:colOff>266700</xdr:colOff>
                    <xdr:row>14</xdr:row>
                    <xdr:rowOff>95250</xdr:rowOff>
                  </to>
                </anchor>
              </controlPr>
            </control>
          </mc:Choice>
        </mc:AlternateContent>
        <mc:AlternateContent xmlns:mc="http://schemas.openxmlformats.org/markup-compatibility/2006">
          <mc:Choice Requires="x14">
            <control shapeId="5455" r:id="rId7" name="Check Box 335">
              <controlPr defaultSize="0" autoFill="0" autoLine="0" autoPict="0">
                <anchor moveWithCells="1" sizeWithCells="1">
                  <from>
                    <xdr:col>0</xdr:col>
                    <xdr:colOff>733425</xdr:colOff>
                    <xdr:row>11</xdr:row>
                    <xdr:rowOff>123825</xdr:rowOff>
                  </from>
                  <to>
                    <xdr:col>3</xdr:col>
                    <xdr:colOff>66675</xdr:colOff>
                    <xdr:row>12</xdr:row>
                    <xdr:rowOff>104775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pageSetUpPr fitToPage="1"/>
  </sheetPr>
  <dimension ref="A1:N55"/>
  <sheetViews>
    <sheetView showGridLines="0" topLeftCell="A7" zoomScaleNormal="100" zoomScaleSheetLayoutView="100" workbookViewId="0">
      <selection activeCell="E14" sqref="E14"/>
    </sheetView>
  </sheetViews>
  <sheetFormatPr defaultColWidth="9.140625" defaultRowHeight="12.75" x14ac:dyDescent="0.2"/>
  <cols>
    <col min="1" max="1" width="30.140625" style="75" customWidth="1"/>
    <col min="2" max="2" width="10.85546875" style="75" customWidth="1"/>
    <col min="3" max="3" width="10.28515625" style="75" customWidth="1"/>
    <col min="4" max="4" width="14" style="75" customWidth="1"/>
    <col min="5" max="5" width="14.140625" style="75" customWidth="1"/>
    <col min="6" max="8" width="10.7109375" style="75" customWidth="1"/>
    <col min="9" max="9" width="15.7109375" style="75" customWidth="1"/>
    <col min="10" max="10" width="10.7109375" style="75" customWidth="1"/>
    <col min="11" max="11" width="16.5703125" style="75" customWidth="1"/>
    <col min="12" max="16384" width="9.140625" style="75"/>
  </cols>
  <sheetData>
    <row r="1" spans="1:14" ht="15" customHeight="1" x14ac:dyDescent="0.2">
      <c r="A1" s="303" t="s">
        <v>191</v>
      </c>
      <c r="B1" s="303"/>
      <c r="C1" s="303"/>
      <c r="D1" s="303"/>
      <c r="E1" s="303"/>
      <c r="F1" s="303"/>
      <c r="G1" s="303"/>
      <c r="H1" s="303"/>
      <c r="I1" s="303"/>
      <c r="J1" s="303"/>
      <c r="K1" s="303"/>
      <c r="L1" s="76"/>
      <c r="M1" s="76"/>
      <c r="N1" s="76"/>
    </row>
    <row r="2" spans="1:14" ht="15" customHeight="1" x14ac:dyDescent="0.2">
      <c r="A2" s="304" t="s">
        <v>192</v>
      </c>
      <c r="B2" s="304"/>
      <c r="C2" s="304"/>
      <c r="D2" s="304"/>
      <c r="E2" s="304"/>
      <c r="F2" s="304"/>
      <c r="G2" s="304"/>
      <c r="H2" s="304"/>
      <c r="I2" s="304"/>
      <c r="J2" s="304"/>
      <c r="K2" s="304"/>
      <c r="L2" s="76"/>
      <c r="M2" s="76"/>
      <c r="N2" s="76"/>
    </row>
    <row r="3" spans="1:14" s="76" customFormat="1" ht="19.5" x14ac:dyDescent="0.4">
      <c r="A3" s="139" t="s">
        <v>137</v>
      </c>
      <c r="B3" s="139"/>
      <c r="C3" s="139"/>
    </row>
    <row r="4" spans="1:14" ht="15" customHeight="1" x14ac:dyDescent="0.2">
      <c r="L4" s="76"/>
      <c r="M4" s="76"/>
      <c r="N4" s="76"/>
    </row>
    <row r="5" spans="1:14" ht="16.5" customHeight="1" x14ac:dyDescent="0.25">
      <c r="A5" s="140" t="s">
        <v>100</v>
      </c>
      <c r="B5" s="141"/>
      <c r="C5" s="141"/>
      <c r="D5" s="84" t="s">
        <v>4</v>
      </c>
      <c r="E5" s="305" t="str">
        <f>'Renewables Report'!$B$5</f>
        <v>Snohomish County PUD</v>
      </c>
      <c r="F5" s="306"/>
      <c r="G5" s="307"/>
      <c r="L5" s="76"/>
      <c r="M5" s="76"/>
      <c r="N5" s="76"/>
    </row>
    <row r="6" spans="1:14" ht="15" customHeight="1" x14ac:dyDescent="0.2">
      <c r="D6" s="84" t="s">
        <v>13</v>
      </c>
      <c r="E6" s="308">
        <v>2016</v>
      </c>
      <c r="F6" s="309"/>
      <c r="G6" s="310"/>
    </row>
    <row r="7" spans="1:14" ht="15" customHeight="1" x14ac:dyDescent="0.2">
      <c r="D7" s="84"/>
      <c r="E7" s="85"/>
      <c r="F7" s="142"/>
      <c r="G7" s="142"/>
    </row>
    <row r="8" spans="1:14" ht="48" x14ac:dyDescent="0.2">
      <c r="A8" s="143" t="s">
        <v>19</v>
      </c>
      <c r="B8" s="144" t="s">
        <v>31</v>
      </c>
      <c r="C8" s="145" t="s">
        <v>7</v>
      </c>
      <c r="D8" s="146" t="s">
        <v>136</v>
      </c>
      <c r="E8" s="146" t="s">
        <v>96</v>
      </c>
      <c r="F8" s="311" t="s">
        <v>95</v>
      </c>
      <c r="G8" s="311"/>
      <c r="H8" s="311"/>
      <c r="I8" s="146" t="s">
        <v>135</v>
      </c>
      <c r="J8" s="146" t="s">
        <v>97</v>
      </c>
      <c r="K8" s="146" t="s">
        <v>134</v>
      </c>
      <c r="L8" s="214"/>
    </row>
    <row r="9" spans="1:14" ht="15" customHeight="1" x14ac:dyDescent="0.2">
      <c r="A9" s="163" t="s">
        <v>220</v>
      </c>
      <c r="B9" s="164" t="s">
        <v>202</v>
      </c>
      <c r="C9" s="165">
        <f>SUM('Renewables Report'!E41)</f>
        <v>53048.271765903039</v>
      </c>
      <c r="D9" s="147">
        <v>5084814.5007744804</v>
      </c>
      <c r="E9" s="171">
        <f t="shared" ref="E9:E28" si="0">IF(C9&gt;0,D9/C9,"")</f>
        <v>95.852594844433042</v>
      </c>
      <c r="F9" s="268" t="s">
        <v>239</v>
      </c>
      <c r="G9" s="269"/>
      <c r="H9" s="270"/>
      <c r="I9" s="147">
        <v>2255082.533818387</v>
      </c>
      <c r="J9" s="171">
        <f t="shared" ref="J9:J28" si="1">IF(C9&gt;0,I9/C9,"")</f>
        <v>42.510009445168187</v>
      </c>
      <c r="K9" s="171">
        <f t="shared" ref="K9:K28" si="2">MAX(0,D9-I9)</f>
        <v>2829731.9669560934</v>
      </c>
      <c r="L9" s="215"/>
    </row>
    <row r="10" spans="1:14" ht="15" customHeight="1" x14ac:dyDescent="0.2">
      <c r="A10" s="163" t="s">
        <v>221</v>
      </c>
      <c r="B10" s="164" t="s">
        <v>200</v>
      </c>
      <c r="C10" s="165">
        <f>SUM('Renewables Report'!E42)</f>
        <v>221452.46649786283</v>
      </c>
      <c r="D10" s="147">
        <v>26756936.181973897</v>
      </c>
      <c r="E10" s="171">
        <f t="shared" si="0"/>
        <v>120.82473771965019</v>
      </c>
      <c r="F10" s="268" t="s">
        <v>239</v>
      </c>
      <c r="G10" s="269"/>
      <c r="H10" s="270"/>
      <c r="I10" s="147">
        <v>10578676.175861629</v>
      </c>
      <c r="J10" s="171">
        <f t="shared" si="1"/>
        <v>47.769511639030313</v>
      </c>
      <c r="K10" s="171">
        <f t="shared" si="2"/>
        <v>16178260.006112268</v>
      </c>
    </row>
    <row r="11" spans="1:14" ht="15" customHeight="1" x14ac:dyDescent="0.2">
      <c r="A11" s="163" t="s">
        <v>222</v>
      </c>
      <c r="B11" s="164" t="s">
        <v>201</v>
      </c>
      <c r="C11" s="165">
        <f>SUM('Renewables Report'!E43)</f>
        <v>210636.70301280165</v>
      </c>
      <c r="D11" s="147">
        <v>25359623.769956581</v>
      </c>
      <c r="E11" s="171">
        <f t="shared" si="0"/>
        <v>120.39508503138376</v>
      </c>
      <c r="F11" s="268" t="s">
        <v>239</v>
      </c>
      <c r="G11" s="269"/>
      <c r="H11" s="270"/>
      <c r="I11" s="147">
        <v>10257312.523141081</v>
      </c>
      <c r="J11" s="171">
        <f t="shared" si="1"/>
        <v>48.696700890336679</v>
      </c>
      <c r="K11" s="171">
        <f t="shared" si="2"/>
        <v>15102311.246815501</v>
      </c>
    </row>
    <row r="12" spans="1:14" ht="15" customHeight="1" x14ac:dyDescent="0.2">
      <c r="A12" s="163"/>
      <c r="B12" s="164"/>
      <c r="C12" s="165"/>
      <c r="D12" s="147"/>
      <c r="E12" s="171" t="str">
        <f t="shared" si="0"/>
        <v/>
      </c>
      <c r="F12" s="268"/>
      <c r="G12" s="269"/>
      <c r="H12" s="270"/>
      <c r="I12" s="147"/>
      <c r="J12" s="171" t="str">
        <f t="shared" si="1"/>
        <v/>
      </c>
      <c r="K12" s="171">
        <f t="shared" si="2"/>
        <v>0</v>
      </c>
    </row>
    <row r="13" spans="1:14" ht="15" customHeight="1" x14ac:dyDescent="0.2">
      <c r="A13" s="163"/>
      <c r="B13" s="164"/>
      <c r="C13" s="165"/>
      <c r="D13" s="147"/>
      <c r="E13" s="171" t="str">
        <f t="shared" si="0"/>
        <v/>
      </c>
      <c r="F13" s="268"/>
      <c r="G13" s="269"/>
      <c r="H13" s="270"/>
      <c r="I13" s="147"/>
      <c r="J13" s="171" t="str">
        <f t="shared" si="1"/>
        <v/>
      </c>
      <c r="K13" s="171">
        <f t="shared" si="2"/>
        <v>0</v>
      </c>
    </row>
    <row r="14" spans="1:14" ht="15" customHeight="1" x14ac:dyDescent="0.2">
      <c r="A14" s="163"/>
      <c r="B14" s="164"/>
      <c r="C14" s="165"/>
      <c r="D14" s="147"/>
      <c r="E14" s="171" t="str">
        <f t="shared" si="0"/>
        <v/>
      </c>
      <c r="F14" s="268"/>
      <c r="G14" s="269"/>
      <c r="H14" s="270"/>
      <c r="I14" s="147"/>
      <c r="J14" s="171" t="str">
        <f t="shared" si="1"/>
        <v/>
      </c>
      <c r="K14" s="171">
        <f t="shared" si="2"/>
        <v>0</v>
      </c>
    </row>
    <row r="15" spans="1:14" ht="15" customHeight="1" x14ac:dyDescent="0.2">
      <c r="A15" s="163"/>
      <c r="B15" s="164"/>
      <c r="C15" s="165"/>
      <c r="D15" s="147"/>
      <c r="E15" s="171" t="str">
        <f t="shared" si="0"/>
        <v/>
      </c>
      <c r="F15" s="268"/>
      <c r="G15" s="269"/>
      <c r="H15" s="270"/>
      <c r="I15" s="147"/>
      <c r="J15" s="171" t="str">
        <f t="shared" si="1"/>
        <v/>
      </c>
      <c r="K15" s="171">
        <f t="shared" si="2"/>
        <v>0</v>
      </c>
    </row>
    <row r="16" spans="1:14" ht="15" customHeight="1" x14ac:dyDescent="0.2">
      <c r="A16" s="163"/>
      <c r="B16" s="164"/>
      <c r="C16" s="165"/>
      <c r="D16" s="147"/>
      <c r="E16" s="171" t="str">
        <f t="shared" si="0"/>
        <v/>
      </c>
      <c r="F16" s="268"/>
      <c r="G16" s="269"/>
      <c r="H16" s="270"/>
      <c r="I16" s="147"/>
      <c r="J16" s="171" t="str">
        <f t="shared" si="1"/>
        <v/>
      </c>
      <c r="K16" s="171">
        <f t="shared" si="2"/>
        <v>0</v>
      </c>
    </row>
    <row r="17" spans="1:11" ht="15" customHeight="1" x14ac:dyDescent="0.2">
      <c r="A17" s="163"/>
      <c r="B17" s="164"/>
      <c r="C17" s="165"/>
      <c r="D17" s="147"/>
      <c r="E17" s="171"/>
      <c r="F17" s="268"/>
      <c r="G17" s="269"/>
      <c r="H17" s="270"/>
      <c r="I17" s="147"/>
      <c r="J17" s="171" t="str">
        <f t="shared" si="1"/>
        <v/>
      </c>
      <c r="K17" s="171">
        <f t="shared" si="2"/>
        <v>0</v>
      </c>
    </row>
    <row r="18" spans="1:11" ht="15" customHeight="1" x14ac:dyDescent="0.2">
      <c r="A18" s="163"/>
      <c r="B18" s="164"/>
      <c r="C18" s="165"/>
      <c r="D18" s="147"/>
      <c r="E18" s="171"/>
      <c r="F18" s="268"/>
      <c r="G18" s="269"/>
      <c r="H18" s="270"/>
      <c r="I18" s="147"/>
      <c r="J18" s="171" t="str">
        <f t="shared" si="1"/>
        <v/>
      </c>
      <c r="K18" s="171">
        <f t="shared" si="2"/>
        <v>0</v>
      </c>
    </row>
    <row r="19" spans="1:11" ht="15" customHeight="1" x14ac:dyDescent="0.2">
      <c r="A19" s="163"/>
      <c r="B19" s="164"/>
      <c r="C19" s="165"/>
      <c r="D19" s="147"/>
      <c r="E19" s="171" t="str">
        <f t="shared" si="0"/>
        <v/>
      </c>
      <c r="F19" s="268"/>
      <c r="G19" s="269"/>
      <c r="H19" s="270"/>
      <c r="I19" s="147"/>
      <c r="J19" s="171" t="str">
        <f t="shared" si="1"/>
        <v/>
      </c>
      <c r="K19" s="171">
        <f t="shared" si="2"/>
        <v>0</v>
      </c>
    </row>
    <row r="20" spans="1:11" ht="15" customHeight="1" x14ac:dyDescent="0.2">
      <c r="A20" s="163"/>
      <c r="B20" s="164"/>
      <c r="C20" s="165"/>
      <c r="D20" s="147"/>
      <c r="E20" s="171" t="str">
        <f t="shared" si="0"/>
        <v/>
      </c>
      <c r="F20" s="268"/>
      <c r="G20" s="269"/>
      <c r="H20" s="270"/>
      <c r="I20" s="147"/>
      <c r="J20" s="171" t="str">
        <f t="shared" si="1"/>
        <v/>
      </c>
      <c r="K20" s="171">
        <f t="shared" si="2"/>
        <v>0</v>
      </c>
    </row>
    <row r="21" spans="1:11" ht="15" customHeight="1" x14ac:dyDescent="0.2">
      <c r="A21" s="163"/>
      <c r="B21" s="164"/>
      <c r="C21" s="165"/>
      <c r="D21" s="147"/>
      <c r="E21" s="171" t="str">
        <f t="shared" si="0"/>
        <v/>
      </c>
      <c r="F21" s="268"/>
      <c r="G21" s="269"/>
      <c r="H21" s="270"/>
      <c r="I21" s="147"/>
      <c r="J21" s="171" t="str">
        <f t="shared" si="1"/>
        <v/>
      </c>
      <c r="K21" s="171">
        <f t="shared" si="2"/>
        <v>0</v>
      </c>
    </row>
    <row r="22" spans="1:11" ht="15" customHeight="1" x14ac:dyDescent="0.2">
      <c r="A22" s="163"/>
      <c r="B22" s="164"/>
      <c r="C22" s="165"/>
      <c r="D22" s="147"/>
      <c r="E22" s="171" t="str">
        <f t="shared" si="0"/>
        <v/>
      </c>
      <c r="F22" s="268"/>
      <c r="G22" s="269"/>
      <c r="H22" s="270"/>
      <c r="I22" s="147"/>
      <c r="J22" s="171" t="str">
        <f t="shared" si="1"/>
        <v/>
      </c>
      <c r="K22" s="171">
        <f t="shared" si="2"/>
        <v>0</v>
      </c>
    </row>
    <row r="23" spans="1:11" ht="15" customHeight="1" x14ac:dyDescent="0.2">
      <c r="A23" s="163"/>
      <c r="B23" s="164"/>
      <c r="C23" s="165"/>
      <c r="D23" s="147"/>
      <c r="E23" s="171" t="str">
        <f t="shared" si="0"/>
        <v/>
      </c>
      <c r="F23" s="268"/>
      <c r="G23" s="269"/>
      <c r="H23" s="270"/>
      <c r="I23" s="147"/>
      <c r="J23" s="171" t="str">
        <f t="shared" si="1"/>
        <v/>
      </c>
      <c r="K23" s="171">
        <f t="shared" si="2"/>
        <v>0</v>
      </c>
    </row>
    <row r="24" spans="1:11" ht="15" customHeight="1" x14ac:dyDescent="0.2">
      <c r="A24" s="163"/>
      <c r="B24" s="164"/>
      <c r="C24" s="165"/>
      <c r="D24" s="147"/>
      <c r="E24" s="171" t="str">
        <f t="shared" si="0"/>
        <v/>
      </c>
      <c r="F24" s="268"/>
      <c r="G24" s="269"/>
      <c r="H24" s="270"/>
      <c r="I24" s="147"/>
      <c r="J24" s="171" t="str">
        <f t="shared" si="1"/>
        <v/>
      </c>
      <c r="K24" s="171">
        <f t="shared" si="2"/>
        <v>0</v>
      </c>
    </row>
    <row r="25" spans="1:11" ht="15" customHeight="1" x14ac:dyDescent="0.2">
      <c r="A25" s="163"/>
      <c r="B25" s="164"/>
      <c r="C25" s="165"/>
      <c r="D25" s="147"/>
      <c r="E25" s="171" t="str">
        <f t="shared" si="0"/>
        <v/>
      </c>
      <c r="F25" s="268"/>
      <c r="G25" s="269"/>
      <c r="H25" s="270"/>
      <c r="I25" s="147"/>
      <c r="J25" s="171" t="str">
        <f t="shared" si="1"/>
        <v/>
      </c>
      <c r="K25" s="171">
        <f t="shared" si="2"/>
        <v>0</v>
      </c>
    </row>
    <row r="26" spans="1:11" ht="15" customHeight="1" x14ac:dyDescent="0.2">
      <c r="A26" s="163"/>
      <c r="B26" s="164"/>
      <c r="C26" s="165"/>
      <c r="D26" s="147"/>
      <c r="E26" s="171" t="str">
        <f t="shared" si="0"/>
        <v/>
      </c>
      <c r="F26" s="268"/>
      <c r="G26" s="269"/>
      <c r="H26" s="270"/>
      <c r="I26" s="147"/>
      <c r="J26" s="171" t="str">
        <f t="shared" si="1"/>
        <v/>
      </c>
      <c r="K26" s="171">
        <f t="shared" si="2"/>
        <v>0</v>
      </c>
    </row>
    <row r="27" spans="1:11" ht="15" customHeight="1" x14ac:dyDescent="0.2">
      <c r="A27" s="163"/>
      <c r="B27" s="164"/>
      <c r="C27" s="165"/>
      <c r="D27" s="147"/>
      <c r="E27" s="171" t="str">
        <f t="shared" si="0"/>
        <v/>
      </c>
      <c r="F27" s="268"/>
      <c r="G27" s="269"/>
      <c r="H27" s="270"/>
      <c r="I27" s="147"/>
      <c r="J27" s="171" t="str">
        <f t="shared" si="1"/>
        <v/>
      </c>
      <c r="K27" s="171">
        <f t="shared" si="2"/>
        <v>0</v>
      </c>
    </row>
    <row r="28" spans="1:11" ht="15" customHeight="1" x14ac:dyDescent="0.2">
      <c r="A28" s="166"/>
      <c r="B28" s="167"/>
      <c r="C28" s="168"/>
      <c r="D28" s="148"/>
      <c r="E28" s="172" t="str">
        <f t="shared" si="0"/>
        <v/>
      </c>
      <c r="F28" s="265"/>
      <c r="G28" s="266"/>
      <c r="H28" s="267"/>
      <c r="I28" s="148"/>
      <c r="J28" s="172" t="str">
        <f t="shared" si="1"/>
        <v/>
      </c>
      <c r="K28" s="172">
        <f t="shared" si="2"/>
        <v>0</v>
      </c>
    </row>
    <row r="29" spans="1:11" ht="15" customHeight="1" x14ac:dyDescent="0.2">
      <c r="A29" s="169" t="s">
        <v>98</v>
      </c>
      <c r="B29" s="169"/>
      <c r="C29" s="170">
        <f>SUM(C9:C28)</f>
        <v>485137.44127656752</v>
      </c>
      <c r="D29" s="173">
        <f>SUM(D9:D28)</f>
        <v>57201374.452704959</v>
      </c>
      <c r="E29" s="173"/>
      <c r="F29" s="173"/>
      <c r="G29" s="173"/>
      <c r="H29" s="173"/>
      <c r="I29" s="173">
        <f>SUM(I9:I28)</f>
        <v>23091071.232821096</v>
      </c>
      <c r="J29" s="174"/>
      <c r="K29" s="173">
        <f>SUM(K9:K28)</f>
        <v>34110303.219883859</v>
      </c>
    </row>
    <row r="30" spans="1:11" ht="15" customHeight="1" x14ac:dyDescent="0.2">
      <c r="D30" s="76"/>
      <c r="E30" s="76"/>
      <c r="F30" s="76"/>
      <c r="G30" s="76"/>
      <c r="H30" s="76"/>
      <c r="I30" s="76"/>
      <c r="J30" s="76"/>
      <c r="K30" s="76"/>
    </row>
    <row r="31" spans="1:11" ht="17.25" customHeight="1" x14ac:dyDescent="0.25">
      <c r="A31" s="140" t="s">
        <v>101</v>
      </c>
      <c r="B31" s="149"/>
      <c r="C31" s="141"/>
      <c r="D31" s="84" t="s">
        <v>4</v>
      </c>
      <c r="E31" s="305" t="str">
        <f>E5</f>
        <v>Snohomish County PUD</v>
      </c>
      <c r="F31" s="306"/>
      <c r="G31" s="307"/>
    </row>
    <row r="32" spans="1:11" ht="15" customHeight="1" x14ac:dyDescent="0.2">
      <c r="A32" s="149"/>
      <c r="B32" s="149"/>
      <c r="D32" s="84" t="s">
        <v>13</v>
      </c>
      <c r="E32" s="308">
        <v>2016</v>
      </c>
      <c r="F32" s="309"/>
      <c r="G32" s="310"/>
    </row>
    <row r="33" spans="1:11" ht="15" customHeight="1" x14ac:dyDescent="0.2">
      <c r="A33" s="84"/>
      <c r="B33" s="84"/>
      <c r="C33" s="84"/>
      <c r="D33" s="138"/>
      <c r="G33" s="150"/>
      <c r="H33" s="76"/>
    </row>
    <row r="34" spans="1:11" s="152" customFormat="1" x14ac:dyDescent="0.2">
      <c r="A34" s="312"/>
      <c r="B34" s="312"/>
      <c r="C34" s="312"/>
      <c r="D34" s="312"/>
      <c r="E34" s="312"/>
      <c r="F34" s="312"/>
      <c r="G34" s="312"/>
      <c r="H34" s="151"/>
      <c r="I34" s="151"/>
      <c r="J34" s="151"/>
      <c r="K34" s="151"/>
    </row>
    <row r="35" spans="1:11" ht="38.25" x14ac:dyDescent="0.2">
      <c r="A35" s="143" t="s">
        <v>19</v>
      </c>
      <c r="B35" s="153" t="s">
        <v>31</v>
      </c>
      <c r="C35" s="154" t="s">
        <v>128</v>
      </c>
      <c r="D35" s="154" t="s">
        <v>106</v>
      </c>
      <c r="E35" s="146" t="s">
        <v>107</v>
      </c>
      <c r="F35" s="146" t="s">
        <v>108</v>
      </c>
      <c r="G35" s="300" t="s">
        <v>38</v>
      </c>
      <c r="H35" s="301"/>
      <c r="I35" s="301"/>
      <c r="J35" s="301"/>
      <c r="K35" s="302"/>
    </row>
    <row r="36" spans="1:11" ht="15" customHeight="1" x14ac:dyDescent="0.2">
      <c r="A36" s="175" t="str">
        <f>'Renewables Report'!A67</f>
        <v>Hampton Generating Unit</v>
      </c>
      <c r="B36" s="176" t="str">
        <f>'Renewables Report'!B67</f>
        <v>W2794</v>
      </c>
      <c r="C36" s="177">
        <f>'Renewables Report'!C67</f>
        <v>2016</v>
      </c>
      <c r="D36" s="165">
        <f>'Renewables Report'!G67</f>
        <v>17873</v>
      </c>
      <c r="E36" s="160">
        <v>184587.54</v>
      </c>
      <c r="F36" s="184">
        <f t="shared" ref="F36:F54" si="3">IF(D36&gt;0,E36/D36,"")</f>
        <v>10.327731214681364</v>
      </c>
      <c r="G36" s="155"/>
      <c r="H36" s="76"/>
      <c r="I36" s="76"/>
      <c r="J36" s="76"/>
      <c r="K36" s="156"/>
    </row>
    <row r="37" spans="1:11" ht="15" customHeight="1" x14ac:dyDescent="0.2">
      <c r="A37" s="175" t="str">
        <f>'Renewables Report'!A68</f>
        <v>Qualco Energy Corporation</v>
      </c>
      <c r="B37" s="176" t="str">
        <f>'Renewables Report'!B68</f>
        <v>W3954</v>
      </c>
      <c r="C37" s="177">
        <f>'Renewables Report'!C68</f>
        <v>2016</v>
      </c>
      <c r="D37" s="165">
        <f>'Renewables Report'!G68</f>
        <v>3442</v>
      </c>
      <c r="E37" s="160">
        <v>49220.600000000006</v>
      </c>
      <c r="F37" s="184">
        <f t="shared" si="3"/>
        <v>14.300000000000002</v>
      </c>
      <c r="G37" s="155"/>
      <c r="H37" s="76"/>
      <c r="I37" s="76"/>
      <c r="J37" s="76"/>
      <c r="K37" s="156"/>
    </row>
    <row r="38" spans="1:11" ht="15" customHeight="1" x14ac:dyDescent="0.2">
      <c r="A38" s="175"/>
      <c r="B38" s="176"/>
      <c r="C38" s="177"/>
      <c r="D38" s="165"/>
      <c r="E38" s="160"/>
      <c r="F38" s="184"/>
      <c r="G38" s="155"/>
      <c r="H38" s="76"/>
      <c r="I38" s="76"/>
      <c r="J38" s="76"/>
      <c r="K38" s="156"/>
    </row>
    <row r="39" spans="1:11" ht="15" customHeight="1" x14ac:dyDescent="0.2">
      <c r="A39" s="175"/>
      <c r="B39" s="176"/>
      <c r="C39" s="177"/>
      <c r="D39" s="165"/>
      <c r="E39" s="160"/>
      <c r="F39" s="184"/>
      <c r="G39" s="155"/>
      <c r="H39" s="76"/>
      <c r="I39" s="76"/>
      <c r="J39" s="76"/>
      <c r="K39" s="156"/>
    </row>
    <row r="40" spans="1:11" ht="15" customHeight="1" x14ac:dyDescent="0.2">
      <c r="A40" s="175"/>
      <c r="B40" s="176"/>
      <c r="C40" s="177"/>
      <c r="D40" s="165"/>
      <c r="E40" s="160"/>
      <c r="F40" s="184"/>
      <c r="G40" s="155"/>
      <c r="H40" s="76"/>
      <c r="I40" s="76"/>
      <c r="J40" s="76"/>
      <c r="K40" s="156"/>
    </row>
    <row r="41" spans="1:11" ht="15" customHeight="1" x14ac:dyDescent="0.2">
      <c r="A41" s="175"/>
      <c r="B41" s="176"/>
      <c r="C41" s="177"/>
      <c r="D41" s="165"/>
      <c r="E41" s="160"/>
      <c r="F41" s="184"/>
      <c r="G41" s="155"/>
      <c r="H41" s="76"/>
      <c r="I41" s="76"/>
      <c r="J41" s="76"/>
      <c r="K41" s="156"/>
    </row>
    <row r="42" spans="1:11" ht="15" customHeight="1" x14ac:dyDescent="0.2">
      <c r="A42" s="175"/>
      <c r="B42" s="176"/>
      <c r="C42" s="177"/>
      <c r="D42" s="165"/>
      <c r="E42" s="160"/>
      <c r="F42" s="184"/>
      <c r="G42" s="155"/>
      <c r="H42" s="76"/>
      <c r="I42" s="76"/>
      <c r="J42" s="76"/>
      <c r="K42" s="156"/>
    </row>
    <row r="43" spans="1:11" ht="15" customHeight="1" x14ac:dyDescent="0.2">
      <c r="A43" s="175"/>
      <c r="B43" s="176"/>
      <c r="C43" s="177"/>
      <c r="D43" s="165"/>
      <c r="E43" s="160"/>
      <c r="F43" s="184"/>
      <c r="G43" s="155"/>
      <c r="H43" s="76"/>
      <c r="I43" s="76"/>
      <c r="J43" s="76"/>
      <c r="K43" s="156"/>
    </row>
    <row r="44" spans="1:11" ht="15" customHeight="1" x14ac:dyDescent="0.2">
      <c r="A44" s="175"/>
      <c r="B44" s="176"/>
      <c r="C44" s="177"/>
      <c r="D44" s="165"/>
      <c r="E44" s="160"/>
      <c r="F44" s="184"/>
      <c r="G44" s="155"/>
      <c r="H44" s="76"/>
      <c r="I44" s="76"/>
      <c r="J44" s="76"/>
      <c r="K44" s="156"/>
    </row>
    <row r="45" spans="1:11" ht="15" customHeight="1" x14ac:dyDescent="0.2">
      <c r="A45" s="175"/>
      <c r="B45" s="176"/>
      <c r="C45" s="177"/>
      <c r="D45" s="165"/>
      <c r="E45" s="160"/>
      <c r="F45" s="184"/>
      <c r="G45" s="155"/>
      <c r="H45" s="76"/>
      <c r="I45" s="76"/>
      <c r="J45" s="76"/>
      <c r="K45" s="156"/>
    </row>
    <row r="46" spans="1:11" ht="15" customHeight="1" x14ac:dyDescent="0.2">
      <c r="A46" s="175"/>
      <c r="B46" s="176"/>
      <c r="C46" s="177"/>
      <c r="D46" s="165"/>
      <c r="E46" s="160"/>
      <c r="F46" s="184"/>
      <c r="G46" s="155"/>
      <c r="H46" s="76"/>
      <c r="I46" s="76"/>
      <c r="J46" s="76"/>
      <c r="K46" s="156"/>
    </row>
    <row r="47" spans="1:11" ht="15" customHeight="1" x14ac:dyDescent="0.2">
      <c r="A47" s="175"/>
      <c r="B47" s="176"/>
      <c r="C47" s="177"/>
      <c r="D47" s="165"/>
      <c r="E47" s="160"/>
      <c r="F47" s="184"/>
      <c r="G47" s="155"/>
      <c r="H47" s="76"/>
      <c r="I47" s="76"/>
      <c r="J47" s="76"/>
      <c r="K47" s="156"/>
    </row>
    <row r="48" spans="1:11" ht="15" customHeight="1" x14ac:dyDescent="0.2">
      <c r="A48" s="175"/>
      <c r="B48" s="176"/>
      <c r="C48" s="177"/>
      <c r="D48" s="165"/>
      <c r="E48" s="160"/>
      <c r="F48" s="184"/>
      <c r="G48" s="155"/>
      <c r="H48" s="76"/>
      <c r="I48" s="76"/>
      <c r="J48" s="76"/>
      <c r="K48" s="156"/>
    </row>
    <row r="49" spans="1:11" ht="15" customHeight="1" x14ac:dyDescent="0.2">
      <c r="A49" s="175"/>
      <c r="B49" s="176"/>
      <c r="C49" s="177"/>
      <c r="D49" s="165"/>
      <c r="E49" s="160"/>
      <c r="F49" s="184"/>
      <c r="G49" s="155"/>
      <c r="H49" s="76"/>
      <c r="I49" s="76"/>
      <c r="J49" s="76"/>
      <c r="K49" s="156"/>
    </row>
    <row r="50" spans="1:11" ht="15" customHeight="1" x14ac:dyDescent="0.2">
      <c r="A50" s="175"/>
      <c r="B50" s="176"/>
      <c r="C50" s="177"/>
      <c r="D50" s="165"/>
      <c r="E50" s="160"/>
      <c r="F50" s="184"/>
      <c r="G50" s="155"/>
      <c r="H50" s="76"/>
      <c r="I50" s="76"/>
      <c r="J50" s="76"/>
      <c r="K50" s="156"/>
    </row>
    <row r="51" spans="1:11" ht="15" customHeight="1" x14ac:dyDescent="0.2">
      <c r="A51" s="175"/>
      <c r="B51" s="176"/>
      <c r="C51" s="177"/>
      <c r="D51" s="165"/>
      <c r="E51" s="160"/>
      <c r="F51" s="184" t="str">
        <f t="shared" si="3"/>
        <v/>
      </c>
      <c r="G51" s="155"/>
      <c r="H51" s="76"/>
      <c r="I51" s="76"/>
      <c r="J51" s="76"/>
      <c r="K51" s="156"/>
    </row>
    <row r="52" spans="1:11" ht="15" customHeight="1" x14ac:dyDescent="0.2">
      <c r="A52" s="175"/>
      <c r="B52" s="176"/>
      <c r="C52" s="177"/>
      <c r="D52" s="165"/>
      <c r="E52" s="160"/>
      <c r="F52" s="184" t="str">
        <f t="shared" si="3"/>
        <v/>
      </c>
      <c r="G52" s="155"/>
      <c r="H52" s="76"/>
      <c r="I52" s="76"/>
      <c r="J52" s="76"/>
      <c r="K52" s="156"/>
    </row>
    <row r="53" spans="1:11" ht="15" customHeight="1" x14ac:dyDescent="0.2">
      <c r="A53" s="175"/>
      <c r="B53" s="176"/>
      <c r="C53" s="177"/>
      <c r="D53" s="165"/>
      <c r="E53" s="160"/>
      <c r="F53" s="184" t="str">
        <f t="shared" si="3"/>
        <v/>
      </c>
      <c r="G53" s="155"/>
      <c r="H53" s="76"/>
      <c r="I53" s="76"/>
      <c r="J53" s="76"/>
      <c r="K53" s="156"/>
    </row>
    <row r="54" spans="1:11" ht="15" customHeight="1" x14ac:dyDescent="0.2">
      <c r="A54" s="178"/>
      <c r="B54" s="179"/>
      <c r="C54" s="180"/>
      <c r="D54" s="181"/>
      <c r="E54" s="161"/>
      <c r="F54" s="185" t="str">
        <f t="shared" si="3"/>
        <v/>
      </c>
      <c r="G54" s="155"/>
      <c r="H54" s="76"/>
      <c r="I54" s="76"/>
      <c r="J54" s="76"/>
      <c r="K54" s="156"/>
    </row>
    <row r="55" spans="1:11" ht="15" customHeight="1" x14ac:dyDescent="0.2">
      <c r="A55" s="169" t="s">
        <v>6</v>
      </c>
      <c r="B55" s="182"/>
      <c r="C55" s="182"/>
      <c r="D55" s="183"/>
      <c r="E55" s="173">
        <f>SUM(E36:E54)</f>
        <v>233808.14</v>
      </c>
      <c r="F55" s="183"/>
      <c r="G55" s="157"/>
      <c r="H55" s="158"/>
      <c r="I55" s="158"/>
      <c r="J55" s="158"/>
      <c r="K55" s="159"/>
    </row>
  </sheetData>
  <mergeCells count="29">
    <mergeCell ref="A34:G34"/>
    <mergeCell ref="F19:H19"/>
    <mergeCell ref="F20:H20"/>
    <mergeCell ref="F13:H13"/>
    <mergeCell ref="F14:H14"/>
    <mergeCell ref="F15:H15"/>
    <mergeCell ref="F16:H16"/>
    <mergeCell ref="F17:H17"/>
    <mergeCell ref="F9:H9"/>
    <mergeCell ref="F10:H10"/>
    <mergeCell ref="F11:H11"/>
    <mergeCell ref="F12:H12"/>
    <mergeCell ref="F18:H18"/>
    <mergeCell ref="G35:K35"/>
    <mergeCell ref="A1:K1"/>
    <mergeCell ref="A2:K2"/>
    <mergeCell ref="F21:H21"/>
    <mergeCell ref="E31:G31"/>
    <mergeCell ref="E32:G32"/>
    <mergeCell ref="E5:G5"/>
    <mergeCell ref="E6:G6"/>
    <mergeCell ref="F22:H22"/>
    <mergeCell ref="F23:H23"/>
    <mergeCell ref="F24:H24"/>
    <mergeCell ref="F25:H25"/>
    <mergeCell ref="F26:H26"/>
    <mergeCell ref="F27:H27"/>
    <mergeCell ref="F28:H28"/>
    <mergeCell ref="F8:H8"/>
  </mergeCells>
  <pageMargins left="0.7" right="0.7" top="0.75" bottom="0.75" header="0.3" footer="0.3"/>
  <pageSetup scale="79" fitToHeight="0" orientation="landscape" r:id="rId1"/>
  <rowBreaks count="1" manualBreakCount="1">
    <brk id="29" max="16383" man="1"/>
  </rowBreaks>
  <drawing r:id="rId2"/>
  <legacyDrawing r:id="rId3"/>
  <oleObjects>
    <mc:AlternateContent xmlns:mc="http://schemas.openxmlformats.org/markup-compatibility/2006">
      <mc:Choice Requires="x14">
        <oleObject progId="Packager Shell Object" dvAspect="DVASPECT_ICON" shapeId="11266" r:id="rId4">
          <objectPr defaultSize="0" autoPict="0" r:id="rId5">
            <anchor moveWithCells="1">
              <from>
                <xdr:col>6</xdr:col>
                <xdr:colOff>342900</xdr:colOff>
                <xdr:row>44</xdr:row>
                <xdr:rowOff>142875</xdr:rowOff>
              </from>
              <to>
                <xdr:col>7</xdr:col>
                <xdr:colOff>466725</xdr:colOff>
                <xdr:row>47</xdr:row>
                <xdr:rowOff>85725</xdr:rowOff>
              </to>
            </anchor>
          </objectPr>
        </oleObject>
      </mc:Choice>
      <mc:Fallback>
        <oleObject progId="Packager Shell Object" dvAspect="DVASPECT_ICON" shapeId="11266" r:id="rId4"/>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H15"/>
  <sheetViews>
    <sheetView workbookViewId="0"/>
  </sheetViews>
  <sheetFormatPr defaultRowHeight="15" x14ac:dyDescent="0.25"/>
  <cols>
    <col min="1" max="1" width="36.140625" bestFit="1" customWidth="1"/>
    <col min="3" max="3" width="36.140625" bestFit="1" customWidth="1"/>
    <col min="12" max="12" width="10.5703125" customWidth="1"/>
  </cols>
  <sheetData>
    <row r="1" spans="1:86" x14ac:dyDescent="0.25">
      <c r="A1" t="s">
        <v>195</v>
      </c>
      <c r="B1" t="s">
        <v>75</v>
      </c>
      <c r="C1" t="s">
        <v>76</v>
      </c>
      <c r="D1" t="s">
        <v>77</v>
      </c>
      <c r="E1" t="s">
        <v>78</v>
      </c>
      <c r="F1" t="s">
        <v>79</v>
      </c>
      <c r="G1" t="s">
        <v>80</v>
      </c>
      <c r="H1" t="s">
        <v>81</v>
      </c>
      <c r="I1" t="s">
        <v>82</v>
      </c>
      <c r="J1" t="s">
        <v>83</v>
      </c>
      <c r="K1" t="s">
        <v>84</v>
      </c>
      <c r="L1" t="s">
        <v>102</v>
      </c>
      <c r="M1" t="s">
        <v>103</v>
      </c>
      <c r="N1" t="s">
        <v>85</v>
      </c>
      <c r="O1" t="s">
        <v>86</v>
      </c>
      <c r="P1" t="s">
        <v>87</v>
      </c>
      <c r="Q1" t="s">
        <v>88</v>
      </c>
      <c r="R1" t="s">
        <v>89</v>
      </c>
      <c r="S1" t="s">
        <v>90</v>
      </c>
      <c r="T1" t="s">
        <v>91</v>
      </c>
      <c r="U1" t="s">
        <v>92</v>
      </c>
      <c r="V1" t="s">
        <v>93</v>
      </c>
      <c r="W1" t="s">
        <v>94</v>
      </c>
      <c r="X1" t="s">
        <v>161</v>
      </c>
      <c r="Y1" t="s">
        <v>162</v>
      </c>
      <c r="Z1" t="s">
        <v>152</v>
      </c>
      <c r="AA1" t="s">
        <v>141</v>
      </c>
      <c r="AB1" t="s">
        <v>163</v>
      </c>
      <c r="AC1" t="s">
        <v>164</v>
      </c>
      <c r="AD1" t="s">
        <v>165</v>
      </c>
      <c r="AE1" t="s">
        <v>166</v>
      </c>
      <c r="AF1" t="s">
        <v>142</v>
      </c>
      <c r="AG1" t="s">
        <v>167</v>
      </c>
      <c r="AH1" t="s">
        <v>168</v>
      </c>
      <c r="AI1" t="s">
        <v>169</v>
      </c>
      <c r="AJ1" t="s">
        <v>153</v>
      </c>
      <c r="AK1" t="s">
        <v>154</v>
      </c>
      <c r="AL1" t="s">
        <v>155</v>
      </c>
      <c r="AM1" t="s">
        <v>156</v>
      </c>
      <c r="AN1" t="s">
        <v>157</v>
      </c>
      <c r="AO1" t="s">
        <v>158</v>
      </c>
      <c r="AP1" t="s">
        <v>159</v>
      </c>
      <c r="AQ1" t="s">
        <v>160</v>
      </c>
      <c r="AR1" t="s">
        <v>170</v>
      </c>
      <c r="AS1" t="s">
        <v>143</v>
      </c>
      <c r="AT1" t="s">
        <v>42</v>
      </c>
      <c r="AU1" t="s">
        <v>43</v>
      </c>
      <c r="AV1" t="s">
        <v>44</v>
      </c>
      <c r="AW1" t="s">
        <v>144</v>
      </c>
      <c r="AX1" t="s">
        <v>145</v>
      </c>
      <c r="AY1" t="s">
        <v>45</v>
      </c>
      <c r="AZ1" t="s">
        <v>51</v>
      </c>
      <c r="BA1" t="s">
        <v>146</v>
      </c>
      <c r="BB1" t="s">
        <v>46</v>
      </c>
      <c r="BC1" t="s">
        <v>47</v>
      </c>
      <c r="BD1" t="s">
        <v>48</v>
      </c>
      <c r="BE1" t="s">
        <v>52</v>
      </c>
      <c r="BF1" t="s">
        <v>53</v>
      </c>
      <c r="BG1" t="s">
        <v>54</v>
      </c>
      <c r="BH1" t="s">
        <v>55</v>
      </c>
      <c r="BI1" t="s">
        <v>56</v>
      </c>
      <c r="BJ1" t="s">
        <v>187</v>
      </c>
      <c r="BK1" t="s">
        <v>57</v>
      </c>
      <c r="BL1" t="s">
        <v>58</v>
      </c>
      <c r="BM1" t="s">
        <v>59</v>
      </c>
      <c r="BN1" t="s">
        <v>60</v>
      </c>
      <c r="BO1" t="s">
        <v>61</v>
      </c>
      <c r="BP1" t="s">
        <v>147</v>
      </c>
      <c r="BQ1" t="s">
        <v>148</v>
      </c>
      <c r="BR1" t="s">
        <v>104</v>
      </c>
      <c r="BS1" t="s">
        <v>149</v>
      </c>
      <c r="BT1" t="s">
        <v>62</v>
      </c>
      <c r="BU1" t="s">
        <v>63</v>
      </c>
      <c r="BV1" t="s">
        <v>64</v>
      </c>
      <c r="BW1" t="s">
        <v>65</v>
      </c>
      <c r="BX1" t="s">
        <v>66</v>
      </c>
      <c r="BY1" t="s">
        <v>67</v>
      </c>
      <c r="BZ1" t="s">
        <v>186</v>
      </c>
      <c r="CA1" t="s">
        <v>68</v>
      </c>
      <c r="CB1" t="s">
        <v>69</v>
      </c>
      <c r="CC1" t="s">
        <v>70</v>
      </c>
      <c r="CD1" t="s">
        <v>71</v>
      </c>
      <c r="CE1" t="s">
        <v>150</v>
      </c>
      <c r="CF1" t="s">
        <v>49</v>
      </c>
      <c r="CG1" t="s">
        <v>151</v>
      </c>
      <c r="CH1" t="s">
        <v>50</v>
      </c>
    </row>
    <row r="2" spans="1:86" x14ac:dyDescent="0.25">
      <c r="A2" t="str">
        <f>REN_Utility_Name</f>
        <v>Snohomish County PUD</v>
      </c>
      <c r="B2" t="e">
        <f>+CON_2014_Agriculture_Expend</f>
        <v>#REF!</v>
      </c>
      <c r="C2" t="e">
        <f>+CON_2014_Agriculture_MWH</f>
        <v>#REF!</v>
      </c>
      <c r="D2" t="e">
        <f>+CON_2014_Commercial_Expend</f>
        <v>#REF!</v>
      </c>
      <c r="E2" t="e">
        <f>+CON_2014_Commercial_MWH</f>
        <v>#REF!</v>
      </c>
      <c r="F2" t="e">
        <f>+CON_2014_Distribution_Expend</f>
        <v>#REF!</v>
      </c>
      <c r="G2" t="e">
        <f>+CON_2014_Distribution_MWH</f>
        <v>#REF!</v>
      </c>
      <c r="H2" t="e">
        <f>+CON_2014_Expenditures</f>
        <v>#REF!</v>
      </c>
      <c r="I2" t="e">
        <f>+CON_2014_Industrial_Expend</f>
        <v>#REF!</v>
      </c>
      <c r="J2" t="e">
        <f>+CON_2014_Industrial_MWH</f>
        <v>#REF!</v>
      </c>
      <c r="K2" t="e">
        <f>+CON_2014_MWH</f>
        <v>#REF!</v>
      </c>
      <c r="L2" t="e">
        <f>+CON_2014_NEEA_Expend</f>
        <v>#REF!</v>
      </c>
      <c r="M2" t="e">
        <f>+CON_2014_NEEA_MWH</f>
        <v>#REF!</v>
      </c>
      <c r="N2" t="e">
        <f>+CON_2014_OtherSector1_Expend</f>
        <v>#REF!</v>
      </c>
      <c r="O2" t="e">
        <f>+CON_2014_OtherSector1_MWH</f>
        <v>#REF!</v>
      </c>
      <c r="P2" t="e">
        <f>+CON_2014_OtherSector2_Expend</f>
        <v>#REF!</v>
      </c>
      <c r="Q2" t="e">
        <f>+CON_2014_OtherSector2_MWH</f>
        <v>#REF!</v>
      </c>
      <c r="R2" t="e">
        <f>+CON_2014_Production_Expend</f>
        <v>#REF!</v>
      </c>
      <c r="S2" t="e">
        <f>+CON_2014_Production_MWH</f>
        <v>#REF!</v>
      </c>
      <c r="T2" t="e">
        <f>+CON_2014_Program1_Expend</f>
        <v>#REF!</v>
      </c>
      <c r="U2" t="e">
        <f>+CON_2014_Program2_Expend</f>
        <v>#REF!</v>
      </c>
      <c r="V2" t="e">
        <f>+CON_2014_Residential_Expend</f>
        <v>#REF!</v>
      </c>
      <c r="W2" t="e">
        <f>+CON_2014_Residential_MWH</f>
        <v>#REF!</v>
      </c>
      <c r="X2" t="e">
        <f>+CON_2015_Agriculture_Expend</f>
        <v>#REF!</v>
      </c>
      <c r="Y2" t="e">
        <f>+CON_2015_Agriculture_MWH</f>
        <v>#REF!</v>
      </c>
      <c r="Z2" t="e">
        <f>+CON_2015_Commercial_Expend</f>
        <v>#REF!</v>
      </c>
      <c r="AA2" t="e">
        <f>+CON_2015_Commercial_MWH</f>
        <v>#REF!</v>
      </c>
      <c r="AB2" t="e">
        <f>+CON_2015_Distribution_Expend</f>
        <v>#REF!</v>
      </c>
      <c r="AC2" t="e">
        <f>+CON_2015_Distribution_MWH</f>
        <v>#REF!</v>
      </c>
      <c r="AD2" t="e">
        <f>+CON_2015_Expenditures</f>
        <v>#REF!</v>
      </c>
      <c r="AE2" t="e">
        <f>+CON_2015_Industrial_Expend</f>
        <v>#REF!</v>
      </c>
      <c r="AF2" t="e">
        <f>+CON_2015_Industrial_MWH</f>
        <v>#REF!</v>
      </c>
      <c r="AG2" t="e">
        <f>+CON_2015_MWH</f>
        <v>#REF!</v>
      </c>
      <c r="AH2" t="e">
        <f>+CON_2015_NEEA_Expend</f>
        <v>#REF!</v>
      </c>
      <c r="AI2" t="e">
        <f>+CON_2015_NEEA_MWH</f>
        <v>#REF!</v>
      </c>
      <c r="AJ2" t="e">
        <f>+CON_2015_OtherSector1_Expend</f>
        <v>#REF!</v>
      </c>
      <c r="AK2" t="e">
        <f>+CON_2015_OtherSector1_MWH</f>
        <v>#REF!</v>
      </c>
      <c r="AL2" t="e">
        <f>+CON_2015_OtherSector2_Expend</f>
        <v>#REF!</v>
      </c>
      <c r="AM2" t="e">
        <f>+CON_2015_OtherSector2_MWH</f>
        <v>#REF!</v>
      </c>
      <c r="AN2" t="e">
        <f>+CON_2015_Production_Expend</f>
        <v>#REF!</v>
      </c>
      <c r="AO2" t="e">
        <f>+CON_2015_Production_MWH</f>
        <v>#REF!</v>
      </c>
      <c r="AP2" t="e">
        <f>+CON_2015_Program1_Expend</f>
        <v>#REF!</v>
      </c>
      <c r="AQ2" t="e">
        <f>+CON_2015_Program2_Expend</f>
        <v>#REF!</v>
      </c>
      <c r="AR2" t="e">
        <f>+CON_2015_Residential_Expend</f>
        <v>#REF!</v>
      </c>
      <c r="AS2" t="e">
        <f>+CON_2015_Residential_MWH</f>
        <v>#REF!</v>
      </c>
      <c r="AT2" t="e">
        <f>+CON_Contact_Name</f>
        <v>#REF!</v>
      </c>
      <c r="AU2" t="e">
        <f>+CON_Email</f>
        <v>#REF!</v>
      </c>
      <c r="AV2" t="e">
        <f>+CON_Phone</f>
        <v>#REF!</v>
      </c>
      <c r="AW2" t="e">
        <f>+CON_Potential_2015_2023</f>
        <v>#REF!</v>
      </c>
      <c r="AX2" t="e">
        <f>+CON_Potential_2016_2025</f>
        <v>#REF!</v>
      </c>
      <c r="AY2" t="e">
        <f>+CON_Report_Date</f>
        <v>#REF!</v>
      </c>
      <c r="AZ2" t="e">
        <f>+CON_Target_2014_2015</f>
        <v>#REF!</v>
      </c>
      <c r="BA2" t="e">
        <f>+CON_Target_2016_2017</f>
        <v>#REF!</v>
      </c>
      <c r="BB2" t="e">
        <f>+CON_Utility_Name</f>
        <v>#REF!</v>
      </c>
      <c r="BC2" t="str">
        <f>+REN_Contact_Name</f>
        <v>Anna Berg</v>
      </c>
      <c r="BD2" t="str">
        <f>+REN_Email</f>
        <v>ajberg@snopud.com</v>
      </c>
      <c r="BE2">
        <f>+REN_ERR_ApprenticeLabor</f>
        <v>0</v>
      </c>
      <c r="BF2">
        <f>+REN_ERR_Biodiesel</f>
        <v>0</v>
      </c>
      <c r="BG2">
        <f>+REN_ERR_Biomass</f>
        <v>0</v>
      </c>
      <c r="BH2">
        <f>+REN_ERR_Geothermal</f>
        <v>0</v>
      </c>
      <c r="BI2">
        <f>+REN_ERR_LandfillGas</f>
        <v>0</v>
      </c>
      <c r="BJ2">
        <f>REN_ERR_QBE</f>
        <v>0</v>
      </c>
      <c r="BK2">
        <f>+REN_ERR_SewageGas</f>
        <v>0</v>
      </c>
      <c r="BL2">
        <f>+REN_ERR_Solar</f>
        <v>0</v>
      </c>
      <c r="BM2">
        <f>+REN_ERR_Water</f>
        <v>1347</v>
      </c>
      <c r="BN2">
        <f>+REN_ERR_Wind</f>
        <v>485137.44127656752</v>
      </c>
      <c r="BO2">
        <f>+REN_ERR_WOT</f>
        <v>0</v>
      </c>
      <c r="BP2">
        <f>+REN_Expenditure_Amount_2016</f>
        <v>34344111.35988386</v>
      </c>
      <c r="BQ2">
        <f>+REN_Expenditure_Percent_2016</f>
        <v>5.7991073347872471E-2</v>
      </c>
      <c r="BR2">
        <f>+REN_Load_2014</f>
        <v>6486109</v>
      </c>
      <c r="BS2">
        <f>+REN_Load_2015</f>
        <v>6474983</v>
      </c>
      <c r="BT2">
        <f>+REN_REC_ApprenticeLabor</f>
        <v>0</v>
      </c>
      <c r="BU2">
        <f>+REN_REC_Biodiesel</f>
        <v>0</v>
      </c>
      <c r="BV2">
        <f>+REN_REC_Biomass</f>
        <v>40796</v>
      </c>
      <c r="BW2">
        <f>+REN_REC_DistributedGeneration</f>
        <v>48976</v>
      </c>
      <c r="BX2">
        <f>+REN_REC_Geothermal</f>
        <v>0</v>
      </c>
      <c r="BY2">
        <f>+REN_REC_LandfillGas</f>
        <v>13</v>
      </c>
      <c r="BZ2">
        <f>REN_REC_QBE</f>
        <v>0</v>
      </c>
      <c r="CA2">
        <f>+REN_REC_SewageGas</f>
        <v>0</v>
      </c>
      <c r="CB2">
        <f>+REN_REC_Solar</f>
        <v>8180</v>
      </c>
      <c r="CC2">
        <f>+REN_REC_Wind</f>
        <v>506051</v>
      </c>
      <c r="CD2">
        <f>+REN_REC_WOT</f>
        <v>0</v>
      </c>
      <c r="CE2">
        <f>+REN_RetailRevenueRequirement_2016</f>
        <v>592231000</v>
      </c>
      <c r="CF2">
        <f>+REN_Submittal_Date</f>
        <v>0</v>
      </c>
      <c r="CG2">
        <f>+REN_Total_2016</f>
        <v>1090500.4412765675</v>
      </c>
      <c r="CH2" t="str">
        <f>+REN_Utility_Name</f>
        <v>Snohomish County PUD</v>
      </c>
    </row>
    <row r="6" spans="1:86" x14ac:dyDescent="0.25">
      <c r="A6" s="14" t="s">
        <v>14</v>
      </c>
    </row>
    <row r="7" spans="1:86" x14ac:dyDescent="0.25">
      <c r="A7" s="14" t="s">
        <v>15</v>
      </c>
    </row>
    <row r="8" spans="1:86" x14ac:dyDescent="0.25">
      <c r="A8" s="14" t="s">
        <v>172</v>
      </c>
    </row>
    <row r="9" spans="1:86" x14ac:dyDescent="0.25">
      <c r="A9" s="14" t="s">
        <v>175</v>
      </c>
    </row>
    <row r="10" spans="1:86" x14ac:dyDescent="0.25">
      <c r="A10" s="14" t="s">
        <v>176</v>
      </c>
    </row>
    <row r="11" spans="1:86" x14ac:dyDescent="0.25">
      <c r="A11" s="14" t="s">
        <v>173</v>
      </c>
    </row>
    <row r="12" spans="1:86" x14ac:dyDescent="0.25">
      <c r="A12" s="14" t="s">
        <v>16</v>
      </c>
    </row>
    <row r="13" spans="1:86" x14ac:dyDescent="0.25">
      <c r="A13" s="14" t="s">
        <v>23</v>
      </c>
    </row>
    <row r="14" spans="1:86" x14ac:dyDescent="0.25">
      <c r="A14" s="14" t="s">
        <v>17</v>
      </c>
    </row>
    <row r="15" spans="1:86" x14ac:dyDescent="0.25">
      <c r="A15" s="14" t="s">
        <v>171</v>
      </c>
    </row>
  </sheetData>
  <sheetProtection sheet="1" objects="1" scenarios="1"/>
  <dataValidations count="1">
    <dataValidation type="list" allowBlank="1" showInputMessage="1" showErrorMessage="1" sqref="D8">
      <formula1>$A$6:$A$15</formula1>
    </dataValidation>
  </dataValidation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92CC68C7D89D34691C2113CD0EC1234" ma:contentTypeVersion="1" ma:contentTypeDescription="Create a new document." ma:contentTypeScope="" ma:versionID="1232cac0a27544407118dd62e18a60c7">
  <xsd:schema xmlns:xsd="http://www.w3.org/2001/XMLSchema" xmlns:xs="http://www.w3.org/2001/XMLSchema" xmlns:p="http://schemas.microsoft.com/office/2006/metadata/properties" xmlns:ns1="http://schemas.microsoft.com/sharepoint/v3" targetNamespace="http://schemas.microsoft.com/office/2006/metadata/properties" ma:root="true" ma:fieldsID="a447206dab0015f8b9f8924535193e8c"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9BE70BF-8544-467A-B785-6047FAAE3D7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5134EF7-F04D-4218-953F-7A835D8EE7C1}">
  <ds:schemaRefs>
    <ds:schemaRef ds:uri="http://www.w3.org/XML/1998/namespace"/>
    <ds:schemaRef ds:uri="http://purl.org/dc/elements/1.1/"/>
    <ds:schemaRef ds:uri="http://schemas.microsoft.com/office/infopath/2007/PartnerControls"/>
    <ds:schemaRef ds:uri="http://purl.org/dc/terms/"/>
    <ds:schemaRef ds:uri="http://purl.org/dc/dcmitype/"/>
    <ds:schemaRef ds:uri="http://schemas.microsoft.com/sharepoint/v3"/>
    <ds:schemaRef ds:uri="http://schemas.microsoft.com/office/2006/documentManagement/types"/>
    <ds:schemaRef ds:uri="http://schemas.openxmlformats.org/package/2006/metadata/core-properties"/>
    <ds:schemaRef ds:uri="http://schemas.microsoft.com/office/2006/metadata/properties"/>
  </ds:schemaRefs>
</ds:datastoreItem>
</file>

<file path=customXml/itemProps3.xml><?xml version="1.0" encoding="utf-8"?>
<ds:datastoreItem xmlns:ds="http://schemas.openxmlformats.org/officeDocument/2006/customXml" ds:itemID="{2F4EF345-C7A3-4312-A2DA-7A75ECC155C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89</vt:i4>
      </vt:variant>
    </vt:vector>
  </HeadingPairs>
  <TitlesOfParts>
    <vt:vector size="95" baseType="lpstr">
      <vt:lpstr>Background</vt:lpstr>
      <vt:lpstr>Instructions - Revise 2014</vt:lpstr>
      <vt:lpstr>Conservation Report</vt:lpstr>
      <vt:lpstr>Renewables Report</vt:lpstr>
      <vt:lpstr>Renewable Cost Report</vt:lpstr>
      <vt:lpstr>Data</vt:lpstr>
      <vt:lpstr>'Conservation Report'!CON_2014_Agriculture_Expend</vt:lpstr>
      <vt:lpstr>'Conservation Report'!CON_2014_Agriculture_MWH</vt:lpstr>
      <vt:lpstr>'Conservation Report'!CON_2014_Commercial_Expend</vt:lpstr>
      <vt:lpstr>'Conservation Report'!CON_2014_Commercial_MWH</vt:lpstr>
      <vt:lpstr>'Conservation Report'!CON_2014_Distribution_Expend</vt:lpstr>
      <vt:lpstr>'Conservation Report'!CON_2014_Distribution_MWH</vt:lpstr>
      <vt:lpstr>'Conservation Report'!CON_2014_Expenditures</vt:lpstr>
      <vt:lpstr>'Conservation Report'!CON_2014_Industrial_Expend</vt:lpstr>
      <vt:lpstr>'Conservation Report'!CON_2014_Industrial_MWH</vt:lpstr>
      <vt:lpstr>'Conservation Report'!CON_2014_MWH</vt:lpstr>
      <vt:lpstr>'Conservation Report'!CON_2014_NEEA_Expend</vt:lpstr>
      <vt:lpstr>'Conservation Report'!CON_2014_NEEA_MWH</vt:lpstr>
      <vt:lpstr>'Conservation Report'!CON_2014_OtherSector1_Expend</vt:lpstr>
      <vt:lpstr>'Conservation Report'!CON_2014_OtherSector1_MWH</vt:lpstr>
      <vt:lpstr>'Conservation Report'!CON_2014_OtherSector2_Expend</vt:lpstr>
      <vt:lpstr>'Conservation Report'!CON_2014_OtherSector2_MWH</vt:lpstr>
      <vt:lpstr>'Conservation Report'!CON_2014_Production_Expend</vt:lpstr>
      <vt:lpstr>'Conservation Report'!CON_2014_Production_MWH</vt:lpstr>
      <vt:lpstr>'Conservation Report'!CON_2014_Program1_Expend</vt:lpstr>
      <vt:lpstr>'Conservation Report'!CON_2014_Program2_Expend</vt:lpstr>
      <vt:lpstr>'Conservation Report'!CON_2014_Residential_Expend</vt:lpstr>
      <vt:lpstr>'Conservation Report'!CON_2014_Residential_MWH</vt:lpstr>
      <vt:lpstr>'Conservation Report'!CON_2015_Agriculture_Expend</vt:lpstr>
      <vt:lpstr>'Conservation Report'!CON_2015_Agriculture_MWH</vt:lpstr>
      <vt:lpstr>'Conservation Report'!CON_2015_Commercial_Expend</vt:lpstr>
      <vt:lpstr>'Conservation Report'!CON_2015_Commercial_MWH</vt:lpstr>
      <vt:lpstr>'Conservation Report'!CON_2015_Distribution_Expend</vt:lpstr>
      <vt:lpstr>'Conservation Report'!CON_2015_Distribution_MWH</vt:lpstr>
      <vt:lpstr>'Conservation Report'!CON_2015_Expenditures</vt:lpstr>
      <vt:lpstr>'Conservation Report'!CON_2015_Industrial_Expend</vt:lpstr>
      <vt:lpstr>'Conservation Report'!CON_2015_Industrial_MWH</vt:lpstr>
      <vt:lpstr>'Conservation Report'!CON_2015_MWH</vt:lpstr>
      <vt:lpstr>'Conservation Report'!CON_2015_NEEA_Expend</vt:lpstr>
      <vt:lpstr>'Conservation Report'!CON_2015_NEEA_MWH</vt:lpstr>
      <vt:lpstr>'Conservation Report'!CON_2015_OtherSector1_Expend</vt:lpstr>
      <vt:lpstr>'Conservation Report'!CON_2015_OtherSector1_MWH</vt:lpstr>
      <vt:lpstr>'Conservation Report'!CON_2015_OtherSector2_Expend</vt:lpstr>
      <vt:lpstr>'Conservation Report'!CON_2015_OtherSector2_MWH</vt:lpstr>
      <vt:lpstr>'Conservation Report'!CON_2015_Production_Expend</vt:lpstr>
      <vt:lpstr>'Conservation Report'!CON_2015_Production_MWH</vt:lpstr>
      <vt:lpstr>'Conservation Report'!CON_2015_Program1_Expend</vt:lpstr>
      <vt:lpstr>'Conservation Report'!CON_2015_Program2_Expend</vt:lpstr>
      <vt:lpstr>'Conservation Report'!CON_2015_Residential_Expend</vt:lpstr>
      <vt:lpstr>'Conservation Report'!CON_2015_Residential_MWH</vt:lpstr>
      <vt:lpstr>'Conservation Report'!CON_Contact_Name</vt:lpstr>
      <vt:lpstr>'Conservation Report'!CON_Email</vt:lpstr>
      <vt:lpstr>'Conservation Report'!CON_Phone</vt:lpstr>
      <vt:lpstr>'Conservation Report'!CON_Potential_2015_2023</vt:lpstr>
      <vt:lpstr>'Conservation Report'!CON_Potential_2016_2025</vt:lpstr>
      <vt:lpstr>'Conservation Report'!CON_Report_Date</vt:lpstr>
      <vt:lpstr>'Conservation Report'!CON_Target_2014_2015</vt:lpstr>
      <vt:lpstr>'Conservation Report'!CON_Target_2016_2017</vt:lpstr>
      <vt:lpstr>'Conservation Report'!CON_Utility_Name</vt:lpstr>
      <vt:lpstr>'Renewable Cost Report'!Print_Area</vt:lpstr>
      <vt:lpstr>'Renewables Report'!Print_Area</vt:lpstr>
      <vt:lpstr>REN_Contact_Name</vt:lpstr>
      <vt:lpstr>REN_Email</vt:lpstr>
      <vt:lpstr>REN_ERR_ApprenticeLabor</vt:lpstr>
      <vt:lpstr>REN_ERR_Biodiesel</vt:lpstr>
      <vt:lpstr>REN_ERR_Biomass</vt:lpstr>
      <vt:lpstr>REN_ERR_Geothermal</vt:lpstr>
      <vt:lpstr>REN_ERR_LandfillGas</vt:lpstr>
      <vt:lpstr>REN_ERR_QBE</vt:lpstr>
      <vt:lpstr>REN_ERR_SewageGas</vt:lpstr>
      <vt:lpstr>REN_ERR_Solar</vt:lpstr>
      <vt:lpstr>REN_ERR_Water</vt:lpstr>
      <vt:lpstr>REN_ERR_Wind</vt:lpstr>
      <vt:lpstr>REN_ERR_WOT</vt:lpstr>
      <vt:lpstr>REN_Expenditure_Amount_2016</vt:lpstr>
      <vt:lpstr>REN_Expenditure_Percent_2016</vt:lpstr>
      <vt:lpstr>REN_Load_2014</vt:lpstr>
      <vt:lpstr>REN_Load_2015</vt:lpstr>
      <vt:lpstr>REN_REC_ApprenticeLabor</vt:lpstr>
      <vt:lpstr>REN_REC_Biodiesel</vt:lpstr>
      <vt:lpstr>REN_REC_Biomass</vt:lpstr>
      <vt:lpstr>REN_REC_DistributedGeneration</vt:lpstr>
      <vt:lpstr>REN_REC_Geothermal</vt:lpstr>
      <vt:lpstr>REN_REC_LandfillGas</vt:lpstr>
      <vt:lpstr>REN_REC_QBE</vt:lpstr>
      <vt:lpstr>REN_REC_SewageGas</vt:lpstr>
      <vt:lpstr>REN_REC_Solar</vt:lpstr>
      <vt:lpstr>REN_REC_Wind</vt:lpstr>
      <vt:lpstr>REN_REC_WOT</vt:lpstr>
      <vt:lpstr>REN_RetailRevenueRequirement_2016</vt:lpstr>
      <vt:lpstr>REN_Submittal_Date</vt:lpstr>
      <vt:lpstr>REN_Total_2016</vt:lpstr>
      <vt:lpstr>REN_Utility_Name</vt:lpstr>
      <vt:lpstr>ResourceType</vt:lpstr>
      <vt:lpstr>ResourceType_REC</vt:lpstr>
    </vt:vector>
  </TitlesOfParts>
  <Company>CTED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EIA 2016 Report Workbook for Utilities</dc:title>
  <dc:creator>Glenn Blackmon</dc:creator>
  <cp:keywords>EIA 2014 Report Workbook for Utilities</cp:keywords>
  <cp:lastModifiedBy>Yanez, Zac</cp:lastModifiedBy>
  <cp:lastPrinted>2016-05-13T19:16:43Z</cp:lastPrinted>
  <dcterms:created xsi:type="dcterms:W3CDTF">2012-03-20T21:01:26Z</dcterms:created>
  <dcterms:modified xsi:type="dcterms:W3CDTF">2016-05-31T23:18:05Z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0x010100D92CC68C7D89D34691C2113CD0EC1234</vt:lpwstr>
  </property>
  <property fmtid="{D5CDD505-2E9C-101B-9397-08002B2CF9AE}" pid="3" name="Tags">
    <vt:lpwstr/>
  </property>
  <property fmtid="{D5CDD505-2E9C-101B-9397-08002B2CF9AE}" pid="4" name="Order">
    <vt:r8>360100</vt:r8>
  </property>
  <property fmtid="{D5CDD505-2E9C-101B-9397-08002B2CF9AE}" pid="5" name="xd_Signature">
    <vt:bool>false</vt:bool>
  </property>
  <property fmtid="{D5CDD505-2E9C-101B-9397-08002B2CF9AE}" pid="6" name="xd_ProgID">
    <vt:lpwstr/>
  </property>
  <property fmtid="{D5CDD505-2E9C-101B-9397-08002B2CF9AE}" pid="7" name="TemplateUrl">
    <vt:lpwstr/>
  </property>
  <property fmtid="{D5CDD505-2E9C-101B-9397-08002B2CF9AE}" pid="8" name="_SourceUrl">
    <vt:lpwstr/>
  </property>
  <property fmtid="{D5CDD505-2E9C-101B-9397-08002B2CF9AE}" pid="9" name="_SharedFileIndex">
    <vt:lpwstr/>
  </property>
</Properties>
</file>