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90" windowWidth="15030" windowHeight="5655" tabRatio="719" activeTab="2"/>
  </bookViews>
  <sheets>
    <sheet name="Background" sheetId="21" r:id="rId1"/>
    <sheet name="Instructions - Revise 2014"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Report'!$D$22</definedName>
    <definedName name="CON_2014_Agriculture_MWH">'Conservation Report'!$C$22</definedName>
    <definedName name="CON_2014_Commercial_Expend">'Conservation Report'!$D$20</definedName>
    <definedName name="CON_2014_Commercial_MWH">'Conservation Report'!$C$20</definedName>
    <definedName name="CON_2014_Distribution_Expend">'Conservation Report'!$D$23</definedName>
    <definedName name="CON_2014_Distribution_MWH">'Conservation Report'!$C$23</definedName>
    <definedName name="CON_2014_Expenditures">'Conservation Report'!$D$31</definedName>
    <definedName name="CON_2014_Industrial_Expend">'Conservation Report'!$D$21</definedName>
    <definedName name="CON_2014_Industrial_MWH">'Conservation Report'!$C$21</definedName>
    <definedName name="CON_2014_MWH">'Conservation Report'!$C$31</definedName>
    <definedName name="CON_2014_NEEA_Expend">'Conservation Report'!$D$25</definedName>
    <definedName name="CON_2014_NEEA_MWH">'Conservation Report'!$C$25</definedName>
    <definedName name="CON_2014_OtherSector1_Expend">'Conservation Report'!$D$26</definedName>
    <definedName name="CON_2014_OtherSector1_MWH">'Conservation Report'!$C$26</definedName>
    <definedName name="CON_2014_OtherSector2_Expend">'Conservation Report'!$D$27</definedName>
    <definedName name="CON_2014_OtherSector2_MWH">'Conservation Report'!$C$27</definedName>
    <definedName name="CON_2014_Production_Expend">'Conservation Report'!$D$24</definedName>
    <definedName name="CON_2014_Production_MWH">'Conservation Report'!$C$24</definedName>
    <definedName name="CON_2014_Program1_Expend">'Conservation Report'!$D$29</definedName>
    <definedName name="CON_2014_Program2_Expend">'Conservation Report'!$D$30</definedName>
    <definedName name="CON_2014_Residential_Expend">'Conservation Report'!$D$19</definedName>
    <definedName name="CON_2014_Residential_MWH">'Conservation Report'!$C$19</definedName>
    <definedName name="CON_2015_Agriculture_Expend">'Conservation Report'!$G$22</definedName>
    <definedName name="CON_2015_Agriculture_MWH">'Conservation Report'!$F$22</definedName>
    <definedName name="CON_2015_Commercial_Expend">'Conservation Report'!$G$20</definedName>
    <definedName name="CON_2015_Commercial_MWH">'Conservation Report'!$F$20</definedName>
    <definedName name="CON_2015_Distribution_Expend">'Conservation Report'!$G$23</definedName>
    <definedName name="CON_2015_Distribution_MWH">'Conservation Report'!$F$23</definedName>
    <definedName name="CON_2015_Expenditures">'Conservation Report'!$G$31</definedName>
    <definedName name="CON_2015_Industrial_Expend">'Conservation Report'!$G$21</definedName>
    <definedName name="CON_2015_Industrial_MWH">'Conservation Report'!$F$21</definedName>
    <definedName name="CON_2015_MWH">'Conservation Report'!$F$31</definedName>
    <definedName name="CON_2015_NEEA_Expend">'Conservation Report'!$G$25</definedName>
    <definedName name="CON_2015_NEEA_MWH">'Conservation Report'!$F$25</definedName>
    <definedName name="CON_2015_OtherSector1_Expend">'Conservation Report'!$G$26</definedName>
    <definedName name="CON_2015_OtherSector1_MWH">'Conservation Report'!$F$26</definedName>
    <definedName name="CON_2015_OtherSector2_Expend">'Conservation Report'!$G$27</definedName>
    <definedName name="CON_2015_OtherSector2_MWH">'Conservation Report'!$F$27</definedName>
    <definedName name="CON_2015_Production_Expend">'Conservation Report'!$G$24</definedName>
    <definedName name="CON_2015_Production_MWH">'Conservation Report'!$F$24</definedName>
    <definedName name="CON_2015_Program1_Expend">'Conservation Report'!$G$29</definedName>
    <definedName name="CON_2015_Program2_Expend">'Conservation Report'!$G$30</definedName>
    <definedName name="CON_2015_Residential_Expend">'Conservation Report'!$G$19</definedName>
    <definedName name="CON_2015_Residential_MWH">'Conservation Report'!$F$19</definedName>
    <definedName name="CON_Contact_Name">'Conservation Report'!$B$7</definedName>
    <definedName name="CON_Email">'Conservation Report'!$B$9</definedName>
    <definedName name="CON_Phone">'Conservation Report'!$B$8</definedName>
    <definedName name="CON_Potential_2015_2023">'Conservation Report'!$A$14</definedName>
    <definedName name="CON_Potential_2016_2025">'Conservation Report'!$C$14</definedName>
    <definedName name="CON_Report_Date">'Conservation Report'!$B$6</definedName>
    <definedName name="CON_Target_2014_2015">'Conservation Report'!$B$14</definedName>
    <definedName name="CON_Target_2016_2017">'Conservation Report'!$D$14</definedName>
    <definedName name="CON_Utility_Name" localSheetId="0">'[1]Conservation Report'!$C$3:$E$3</definedName>
    <definedName name="CON_Utility_Name">'Conservation Report'!$B$5</definedName>
    <definedName name="_xlnm.Print_Area" localSheetId="2">'Conservation Report'!$A$3:$I$37</definedName>
    <definedName name="_xlnm.Print_Area" localSheetId="4">'Renewable Cost Report'!$A$3:$K$61</definedName>
    <definedName name="_xlnm.Print_Area" localSheetId="3">'Renewables Report'!$A$3:$N$115</definedName>
    <definedName name="REN_Contact_Name">'Renewables Report'!$B$7</definedName>
    <definedName name="REN_Email">'Renewables Report'!$B$9</definedName>
    <definedName name="REN_ERR_ApprenticeLabor">'Renewables Report'!$M$18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QBE">'Renewables Report'!$L$18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6">'Renewables Report'!$M$13</definedName>
    <definedName name="REN_Expenditure_Percent_2016">'Renewables Report'!$M$15</definedName>
    <definedName name="REN_Load_2014">'Renewables Report'!$M$5</definedName>
    <definedName name="REN_Load_2015">'Renewables Report'!$M$6</definedName>
    <definedName name="REN_REC_ApprenticeLabor">'Renewables Report'!$M$19</definedName>
    <definedName name="REN_REC_Biodiesel">'Renewables Report'!$J$19</definedName>
    <definedName name="REN_REC_Biomass">'Renewables Report'!$K$19</definedName>
    <definedName name="REN_REC_DistributedGeneration">'Renewables Report'!$N$19</definedName>
    <definedName name="REN_REC_Geothermal">'Renewables Report'!$F$19</definedName>
    <definedName name="REN_REC_LandfillGas">'Renewables Report'!$G$19</definedName>
    <definedName name="REN_REC_QBE">'Renewables Report'!$L$19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6">'Renewables Report'!$M$14</definedName>
    <definedName name="REN_Submittal_Date">'Renewables Report'!$B$6</definedName>
    <definedName name="REN_Total_2016">'Renewables Report'!$M$10</definedName>
    <definedName name="REN_Utility_Name">'Renewables Report'!$B$5</definedName>
    <definedName name="ResourceType">Data!$A$6:$A$15</definedName>
    <definedName name="ResourceType_REC">Data!$A$7:$A$15</definedName>
  </definedNames>
  <calcPr calcId="145621"/>
</workbook>
</file>

<file path=xl/calcChain.xml><?xml version="1.0" encoding="utf-8"?>
<calcChain xmlns="http://schemas.openxmlformats.org/spreadsheetml/2006/main">
  <c r="M14" i="16" l="1"/>
  <c r="C20" i="23" l="1"/>
  <c r="A20" i="23"/>
  <c r="C19" i="23"/>
  <c r="B19" i="23"/>
  <c r="A19" i="23"/>
  <c r="G8" i="18" l="1"/>
  <c r="I68" i="16"/>
  <c r="I69" i="16"/>
  <c r="I70" i="16"/>
  <c r="I71" i="16"/>
  <c r="I72" i="16"/>
  <c r="I73" i="16"/>
  <c r="I74" i="16"/>
  <c r="I75" i="16"/>
  <c r="I76" i="16"/>
  <c r="I77" i="16"/>
  <c r="I78" i="16"/>
  <c r="I79" i="16"/>
  <c r="I80" i="16"/>
  <c r="I81" i="16"/>
  <c r="I82" i="16"/>
  <c r="I83" i="16"/>
  <c r="I84" i="16"/>
  <c r="I85" i="16"/>
  <c r="I86" i="16"/>
  <c r="I87" i="16"/>
  <c r="I88" i="16"/>
  <c r="I89" i="16"/>
  <c r="I90" i="16"/>
  <c r="I67" i="16"/>
  <c r="I66" i="16"/>
  <c r="C18" i="16"/>
  <c r="C20" i="16" s="1"/>
  <c r="D38" i="23"/>
  <c r="D39" i="23"/>
  <c r="D40" i="23"/>
  <c r="D41" i="23"/>
  <c r="D42" i="23"/>
  <c r="D43" i="23"/>
  <c r="D44" i="23"/>
  <c r="E44" i="23" s="1"/>
  <c r="D45" i="23"/>
  <c r="E45" i="23" s="1"/>
  <c r="D46" i="23"/>
  <c r="D47" i="23"/>
  <c r="E47" i="23" s="1"/>
  <c r="D48" i="23"/>
  <c r="E48" i="23" s="1"/>
  <c r="D49" i="23"/>
  <c r="E49" i="23" s="1"/>
  <c r="D50" i="23"/>
  <c r="D51" i="23"/>
  <c r="E51" i="23" s="1"/>
  <c r="D52" i="23"/>
  <c r="E52" i="23" s="1"/>
  <c r="D53" i="23"/>
  <c r="E53" i="23" s="1"/>
  <c r="D54" i="23"/>
  <c r="E54" i="23" s="1"/>
  <c r="D55" i="23"/>
  <c r="D56" i="23"/>
  <c r="D57" i="23"/>
  <c r="D58" i="23"/>
  <c r="D59" i="23"/>
  <c r="D60" i="23"/>
  <c r="D37" i="23"/>
  <c r="D36" i="23"/>
  <c r="C11" i="23"/>
  <c r="C12" i="23"/>
  <c r="C13" i="23"/>
  <c r="C14" i="23"/>
  <c r="C15" i="23"/>
  <c r="C16" i="23"/>
  <c r="C17" i="23"/>
  <c r="C18" i="23"/>
  <c r="C21" i="23"/>
  <c r="C22" i="23"/>
  <c r="C23" i="23"/>
  <c r="C24" i="23"/>
  <c r="C25" i="23"/>
  <c r="C26" i="23"/>
  <c r="C27" i="23"/>
  <c r="C28" i="23"/>
  <c r="C9" i="23"/>
  <c r="E19" i="16"/>
  <c r="F19" i="16"/>
  <c r="G19" i="16"/>
  <c r="H19" i="16"/>
  <c r="I19" i="16"/>
  <c r="J19" i="16"/>
  <c r="K19" i="16"/>
  <c r="L19" i="16"/>
  <c r="BZ2" i="19" s="1"/>
  <c r="D19" i="16"/>
  <c r="D18" i="16"/>
  <c r="E18" i="16"/>
  <c r="F18" i="16"/>
  <c r="G18" i="16"/>
  <c r="H18" i="16"/>
  <c r="I18" i="16"/>
  <c r="J18" i="16"/>
  <c r="K18" i="16"/>
  <c r="L18" i="16"/>
  <c r="BJ2" i="19" s="1"/>
  <c r="H90" i="16"/>
  <c r="H67" i="16"/>
  <c r="H68" i="16"/>
  <c r="H69" i="16"/>
  <c r="H70" i="16"/>
  <c r="H71" i="16"/>
  <c r="H72" i="16"/>
  <c r="H73" i="16"/>
  <c r="H74" i="16"/>
  <c r="H75" i="16"/>
  <c r="H76" i="16"/>
  <c r="H77" i="16"/>
  <c r="H78" i="16"/>
  <c r="H79" i="16"/>
  <c r="H80" i="16"/>
  <c r="H81" i="16"/>
  <c r="H82" i="16"/>
  <c r="H83" i="16"/>
  <c r="H84" i="16"/>
  <c r="H85" i="16"/>
  <c r="H86" i="16"/>
  <c r="H87" i="16"/>
  <c r="H88" i="16"/>
  <c r="H89" i="16"/>
  <c r="H66" i="16"/>
  <c r="F41" i="16"/>
  <c r="F42" i="16"/>
  <c r="F43" i="16"/>
  <c r="F44" i="16"/>
  <c r="F45" i="16"/>
  <c r="F46" i="16"/>
  <c r="F47" i="16"/>
  <c r="F48" i="16"/>
  <c r="F49" i="16"/>
  <c r="F50" i="16"/>
  <c r="F52" i="16"/>
  <c r="F53" i="16"/>
  <c r="F54" i="16"/>
  <c r="F55" i="16"/>
  <c r="F56" i="16"/>
  <c r="F57" i="16"/>
  <c r="F58" i="16"/>
  <c r="F59" i="16"/>
  <c r="F40" i="16"/>
  <c r="D10" i="23" l="1"/>
  <c r="D16" i="23"/>
  <c r="D12" i="23"/>
  <c r="D11" i="23"/>
  <c r="D17" i="23"/>
  <c r="M19" i="16"/>
  <c r="N19" i="16"/>
  <c r="M18" i="16"/>
  <c r="CH2" i="19"/>
  <c r="CF2" i="19"/>
  <c r="CE2" i="19"/>
  <c r="BS2" i="19"/>
  <c r="BR2" i="19"/>
  <c r="BD2" i="19"/>
  <c r="BC2" i="19"/>
  <c r="BB2" i="19"/>
  <c r="BA2" i="19"/>
  <c r="AZ2" i="19"/>
  <c r="AY2" i="19"/>
  <c r="AX2" i="19"/>
  <c r="AW2" i="19"/>
  <c r="AV2" i="19"/>
  <c r="AU2" i="19"/>
  <c r="AT2" i="19"/>
  <c r="AS2" i="19"/>
  <c r="AR2" i="19"/>
  <c r="AQ2" i="19"/>
  <c r="AP2" i="19"/>
  <c r="AO2" i="19"/>
  <c r="AN2" i="19"/>
  <c r="AM2" i="19"/>
  <c r="AL2" i="19"/>
  <c r="AK2" i="19"/>
  <c r="AJ2" i="19"/>
  <c r="AI2" i="19"/>
  <c r="AH2" i="19"/>
  <c r="AF2" i="19"/>
  <c r="AE2" i="19"/>
  <c r="AC2" i="19"/>
  <c r="AB2" i="19"/>
  <c r="AA2" i="19"/>
  <c r="Z2" i="19"/>
  <c r="Y2" i="19"/>
  <c r="X2" i="19"/>
  <c r="W2" i="19"/>
  <c r="V2" i="19"/>
  <c r="U2" i="19"/>
  <c r="T2" i="19"/>
  <c r="S2" i="19"/>
  <c r="R2" i="19"/>
  <c r="Q2" i="19"/>
  <c r="P2" i="19"/>
  <c r="O2" i="19"/>
  <c r="N2" i="19"/>
  <c r="M2" i="19"/>
  <c r="L2" i="19"/>
  <c r="J2" i="19"/>
  <c r="I2" i="19"/>
  <c r="G2" i="19"/>
  <c r="F2" i="19"/>
  <c r="E2" i="19"/>
  <c r="D2" i="19"/>
  <c r="C2" i="19"/>
  <c r="B2" i="19"/>
  <c r="I8" i="18" l="1"/>
  <c r="G31" i="18"/>
  <c r="AD2" i="19" s="1"/>
  <c r="F31" i="18"/>
  <c r="AG2" i="19" s="1"/>
  <c r="F37" i="23" l="1"/>
  <c r="K9" i="23"/>
  <c r="F38" i="23"/>
  <c r="F39" i="23"/>
  <c r="F40" i="23"/>
  <c r="F41" i="23"/>
  <c r="F42" i="23"/>
  <c r="F43" i="23"/>
  <c r="F45" i="23"/>
  <c r="F46" i="23"/>
  <c r="F47" i="23"/>
  <c r="F48" i="23"/>
  <c r="F49" i="23"/>
  <c r="F50" i="23"/>
  <c r="F51" i="23"/>
  <c r="F52" i="23"/>
  <c r="F53" i="23"/>
  <c r="F54" i="23"/>
  <c r="F55" i="23"/>
  <c r="F56" i="23"/>
  <c r="F57" i="23"/>
  <c r="F58" i="23"/>
  <c r="F59" i="23"/>
  <c r="F60" i="23"/>
  <c r="F36" i="23"/>
  <c r="K28" i="23" l="1"/>
  <c r="K27" i="23"/>
  <c r="K26" i="23"/>
  <c r="K25" i="23"/>
  <c r="K24" i="23"/>
  <c r="K23" i="23"/>
  <c r="K22" i="23"/>
  <c r="K21" i="23"/>
  <c r="K19" i="23"/>
  <c r="K18" i="23"/>
  <c r="K17" i="23"/>
  <c r="K16" i="23"/>
  <c r="K15" i="23"/>
  <c r="K14" i="23"/>
  <c r="K13" i="23"/>
  <c r="K12" i="23"/>
  <c r="K11" i="23"/>
  <c r="K10" i="23"/>
  <c r="C60" i="23" l="1"/>
  <c r="B60" i="23"/>
  <c r="C59" i="23"/>
  <c r="B59" i="23"/>
  <c r="C58" i="23"/>
  <c r="B58" i="23"/>
  <c r="C57" i="23"/>
  <c r="B57" i="23"/>
  <c r="C56" i="23"/>
  <c r="B56" i="23"/>
  <c r="C55" i="23"/>
  <c r="B55" i="23"/>
  <c r="C54" i="23"/>
  <c r="B54" i="23"/>
  <c r="C53" i="23"/>
  <c r="B53" i="23"/>
  <c r="C52" i="23"/>
  <c r="B52" i="23"/>
  <c r="C51" i="23"/>
  <c r="B51" i="23"/>
  <c r="C50" i="23"/>
  <c r="B50" i="23"/>
  <c r="C49" i="23"/>
  <c r="B49" i="23"/>
  <c r="C48" i="23"/>
  <c r="B48" i="23"/>
  <c r="C47" i="23"/>
  <c r="B47" i="23"/>
  <c r="C46" i="23"/>
  <c r="B46" i="23"/>
  <c r="C45" i="23"/>
  <c r="B45" i="23"/>
  <c r="C44" i="23"/>
  <c r="B44" i="23"/>
  <c r="C43" i="23"/>
  <c r="B43" i="23"/>
  <c r="C42" i="23"/>
  <c r="B42" i="23"/>
  <c r="C41" i="23"/>
  <c r="B41" i="23"/>
  <c r="C40" i="23"/>
  <c r="B40" i="23"/>
  <c r="C39" i="23"/>
  <c r="B39" i="23"/>
  <c r="C38" i="23"/>
  <c r="B38" i="23"/>
  <c r="C37" i="23"/>
  <c r="B37" i="23"/>
  <c r="C36" i="23"/>
  <c r="B36" i="23"/>
  <c r="A60" i="23"/>
  <c r="A59" i="23"/>
  <c r="A58" i="23"/>
  <c r="A57" i="23"/>
  <c r="A56" i="23"/>
  <c r="A55" i="23"/>
  <c r="A54" i="23"/>
  <c r="A53" i="23"/>
  <c r="A52" i="23"/>
  <c r="A51" i="23"/>
  <c r="A50" i="23"/>
  <c r="A49" i="23"/>
  <c r="A48" i="23"/>
  <c r="A47" i="23"/>
  <c r="A46" i="23"/>
  <c r="A45" i="23"/>
  <c r="A44" i="23"/>
  <c r="A43" i="23"/>
  <c r="A42" i="23"/>
  <c r="A41" i="23"/>
  <c r="A40" i="23"/>
  <c r="A39" i="23"/>
  <c r="A38" i="23"/>
  <c r="A37" i="23"/>
  <c r="A36" i="23"/>
  <c r="D29" i="23"/>
  <c r="I29" i="23"/>
  <c r="E10" i="23"/>
  <c r="J11" i="23"/>
  <c r="E12" i="23"/>
  <c r="J13" i="23"/>
  <c r="J14" i="23"/>
  <c r="J15" i="23"/>
  <c r="E16" i="23"/>
  <c r="J17" i="23"/>
  <c r="J18" i="23"/>
  <c r="J19" i="23"/>
  <c r="E20" i="23"/>
  <c r="J21" i="23"/>
  <c r="J22" i="23"/>
  <c r="E23" i="23"/>
  <c r="J24" i="23"/>
  <c r="E25" i="23"/>
  <c r="J26" i="23"/>
  <c r="E27" i="23"/>
  <c r="E28" i="23"/>
  <c r="E9" i="23"/>
  <c r="J27" i="23" l="1"/>
  <c r="J12" i="23"/>
  <c r="J20" i="23"/>
  <c r="K29" i="23"/>
  <c r="J10" i="23"/>
  <c r="J25" i="23"/>
  <c r="E21" i="23"/>
  <c r="J9" i="23"/>
  <c r="J16" i="23"/>
  <c r="J23" i="23"/>
  <c r="C29" i="23"/>
  <c r="E14" i="23"/>
  <c r="E24" i="23"/>
  <c r="E17" i="23"/>
  <c r="J28" i="23"/>
  <c r="E26" i="23"/>
  <c r="E22" i="23"/>
  <c r="E15" i="23"/>
  <c r="E11" i="23"/>
  <c r="E13" i="23"/>
  <c r="A9" i="23"/>
  <c r="B9" i="23"/>
  <c r="A10" i="23"/>
  <c r="B10" i="23"/>
  <c r="A11" i="23"/>
  <c r="B11" i="23"/>
  <c r="A12" i="23"/>
  <c r="B12" i="23"/>
  <c r="A13" i="23"/>
  <c r="B13" i="23"/>
  <c r="A14" i="23"/>
  <c r="B14" i="23"/>
  <c r="A15" i="23"/>
  <c r="B15" i="23"/>
  <c r="A16" i="23"/>
  <c r="B16" i="23"/>
  <c r="A17" i="23"/>
  <c r="B17" i="23"/>
  <c r="A18" i="23"/>
  <c r="B18" i="23"/>
  <c r="B20" i="23"/>
  <c r="A21" i="23"/>
  <c r="B21" i="23"/>
  <c r="A22" i="23"/>
  <c r="B22" i="23"/>
  <c r="A23" i="23"/>
  <c r="B23" i="23"/>
  <c r="A24" i="23"/>
  <c r="B24" i="23"/>
  <c r="A25" i="23"/>
  <c r="B25" i="23"/>
  <c r="A26" i="23"/>
  <c r="B26" i="23"/>
  <c r="A27" i="23"/>
  <c r="B27" i="23"/>
  <c r="A28" i="23"/>
  <c r="B28" i="23"/>
  <c r="E5" i="23"/>
  <c r="E31" i="23" s="1"/>
  <c r="N5" i="21" l="1"/>
  <c r="M7" i="16"/>
  <c r="M9" i="16" s="1"/>
  <c r="A2" i="19" l="1"/>
  <c r="BM2" i="19" l="1"/>
  <c r="BN2" i="19"/>
  <c r="BL2" i="19"/>
  <c r="BH2" i="19"/>
  <c r="BI2" i="19"/>
  <c r="BO2" i="19"/>
  <c r="BK2" i="19"/>
  <c r="BF2" i="19"/>
  <c r="BG2" i="19"/>
  <c r="BE2" i="19"/>
  <c r="B33" i="18" l="1"/>
  <c r="D31" i="18" l="1"/>
  <c r="H2" i="19" s="1"/>
  <c r="C31" i="18"/>
  <c r="K2" i="19" l="1"/>
  <c r="G9" i="18"/>
  <c r="G10" i="18" s="1"/>
  <c r="BW2" i="19"/>
  <c r="N20" i="16" l="1"/>
  <c r="E92" i="16"/>
  <c r="BT2" i="19"/>
  <c r="E61" i="16"/>
  <c r="E36" i="16"/>
  <c r="BV2" i="19"/>
  <c r="BU2" i="19"/>
  <c r="CA2" i="19"/>
  <c r="CD2" i="19"/>
  <c r="BY2" i="19"/>
  <c r="BX2" i="19"/>
  <c r="CB2" i="19"/>
  <c r="CC2" i="19"/>
  <c r="F20" i="16" l="1"/>
  <c r="J20" i="16"/>
  <c r="E20" i="16"/>
  <c r="G20" i="16"/>
  <c r="I20" i="16"/>
  <c r="H20" i="16"/>
  <c r="M20" i="16"/>
  <c r="D20" i="16"/>
  <c r="K20" i="16"/>
  <c r="M10" i="16" l="1"/>
  <c r="CG2" i="19" s="1"/>
  <c r="F44" i="23"/>
  <c r="E61" i="23"/>
  <c r="M13" i="16" s="1"/>
  <c r="BP2" i="19" l="1"/>
  <c r="M15" i="16"/>
  <c r="BQ2" i="19" s="1"/>
</calcChain>
</file>

<file path=xl/comments1.xml><?xml version="1.0" encoding="utf-8"?>
<comments xmlns="http://schemas.openxmlformats.org/spreadsheetml/2006/main">
  <authors>
    <author>Blackmon, Glenn (COM)</author>
  </authors>
  <commentList>
    <comment ref="A11" authorId="0">
      <text>
        <r>
          <rPr>
            <sz val="9"/>
            <color indexed="81"/>
            <rFont val="Tahoma"/>
            <family val="2"/>
          </rPr>
          <t xml:space="preserve">Utilities selecting the Resource Cost or No Load Growth methods must submit additional information. See details in WAC 194-37-110.
</t>
        </r>
      </text>
    </comment>
    <comment ref="K17" authorId="0">
      <text>
        <r>
          <rPr>
            <b/>
            <sz val="9"/>
            <color indexed="81"/>
            <rFont val="Tahoma"/>
            <family val="2"/>
          </rPr>
          <t>NOTE:</t>
        </r>
        <r>
          <rPr>
            <sz val="9"/>
            <color indexed="81"/>
            <rFont val="Tahoma"/>
            <family val="2"/>
          </rPr>
          <t xml:space="preserve"> Biomass energy is electricity from a biomass-fueled generating facility that commenced operation after March 31, 1999, and meets other legal requirements. 
</t>
        </r>
      </text>
    </comment>
    <comment ref="L17" authorId="0">
      <text>
        <r>
          <rPr>
            <b/>
            <sz val="9"/>
            <color indexed="81"/>
            <rFont val="Tahoma"/>
            <family val="2"/>
          </rPr>
          <t xml:space="preserve">NOTE: </t>
        </r>
        <r>
          <rPr>
            <sz val="9"/>
            <color indexed="81"/>
            <rFont val="Tahoma"/>
            <family val="2"/>
          </rPr>
          <t>Qualified biomass energy is defined as electricity generated using biomass at a facility that commenced operation before March 31, 1999.
DO NOT report qualified biomass energy in the "biomass energy" column.</t>
        </r>
      </text>
    </comment>
  </commentList>
</comments>
</file>

<file path=xl/comments2.xml><?xml version="1.0" encoding="utf-8"?>
<comments xmlns="http://schemas.openxmlformats.org/spreadsheetml/2006/main">
  <authors>
    <author>Walkowiak, John</author>
  </authors>
  <commentList>
    <comment ref="K20" authorId="0">
      <text>
        <r>
          <rPr>
            <b/>
            <sz val="9"/>
            <color indexed="81"/>
            <rFont val="Tahoma"/>
            <family val="2"/>
          </rPr>
          <t>Walkowiak, John:</t>
        </r>
        <r>
          <rPr>
            <sz val="9"/>
            <color indexed="81"/>
            <rFont val="Tahoma"/>
            <family val="2"/>
          </rPr>
          <t xml:space="preserve">
Adjusted formula to allow negative number.</t>
        </r>
      </text>
    </comment>
  </commentList>
</comments>
</file>

<file path=xl/sharedStrings.xml><?xml version="1.0" encoding="utf-8"?>
<sst xmlns="http://schemas.openxmlformats.org/spreadsheetml/2006/main" count="400" uniqueCount="254">
  <si>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</si>
  <si>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</si>
  <si>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</si>
  <si>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</si>
  <si>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</si>
  <si>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</si>
  <si>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</si>
  <si>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</si>
  <si>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</si>
  <si>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</si>
  <si>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</si>
  <si>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</si>
  <si>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</si>
  <si>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</si>
  <si>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Water</t>
  </si>
  <si>
    <t>Wind</t>
  </si>
  <si>
    <t>Landfill Gas</t>
  </si>
  <si>
    <t>Gas from Sewage Treatment</t>
  </si>
  <si>
    <t>Renewable Energy Credits</t>
  </si>
  <si>
    <t>Facility Name</t>
  </si>
  <si>
    <t xml:space="preserve"> Distribution Efficiency</t>
  </si>
  <si>
    <t xml:space="preserve"> Production Efficiency</t>
  </si>
  <si>
    <t>Renewable Resources</t>
  </si>
  <si>
    <t>Wave, Ocean, Tidal</t>
  </si>
  <si>
    <t>Conservation by Sector</t>
  </si>
  <si>
    <t>Eligible Renewable Resources (MWh)</t>
  </si>
  <si>
    <t>Loads and Resources</t>
  </si>
  <si>
    <t>Select</t>
  </si>
  <si>
    <t xml:space="preserve">19.285.040 (2)(b) Renewables Target </t>
  </si>
  <si>
    <t>19.285.040 (2)(d) No Load Growth</t>
  </si>
  <si>
    <t xml:space="preserve">19.285.050 Incremental Resource Cost  </t>
  </si>
  <si>
    <t>WREGIS ID</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</si>
  <si>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</si>
  <si>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</si>
  <si>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</si>
  <si>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</si>
  <si>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</si>
  <si>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</si>
  <si>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</si>
  <si>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</si>
  <si>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</si>
  <si>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</si>
  <si>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CON_Contact_Name</t>
  </si>
  <si>
    <t>CON_Email</t>
  </si>
  <si>
    <t>CON_Phone</t>
  </si>
  <si>
    <t>CON_Report_Date</t>
  </si>
  <si>
    <t>CON_Utility_Name</t>
  </si>
  <si>
    <t>REN_Contact_Name</t>
  </si>
  <si>
    <t>REN_Email</t>
  </si>
  <si>
    <t>REN_Submittal_Date</t>
  </si>
  <si>
    <t>REN_Utility_Name</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</si>
  <si>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</si>
  <si>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</si>
  <si>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</si>
  <si>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</si>
  <si>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</si>
  <si>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</si>
  <si>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</si>
  <si>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</si>
  <si>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</si>
  <si>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</si>
  <si>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</si>
  <si>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</si>
  <si>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</si>
  <si>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</si>
  <si>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</si>
  <si>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</si>
  <si>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</si>
  <si>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</si>
  <si>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</si>
  <si>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</si>
  <si>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</si>
  <si>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</si>
  <si>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</si>
  <si>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2014 Achievement</t>
  </si>
  <si>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</si>
  <si>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</si>
  <si>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</si>
  <si>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</si>
  <si>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</si>
  <si>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</si>
  <si>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</si>
  <si>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</si>
  <si>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</si>
  <si>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</si>
  <si>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</si>
  <si>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</si>
  <si>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</si>
  <si>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</si>
  <si>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</si>
  <si>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</si>
  <si>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</si>
  <si>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</si>
  <si>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</si>
  <si>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</si>
  <si>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</si>
  <si>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</si>
  <si>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</si>
  <si>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Totals</t>
  </si>
  <si>
    <t>2014 Annual Load (MWh)</t>
  </si>
  <si>
    <t>Incremental Cost of Renewable Resources</t>
  </si>
  <si>
    <t xml:space="preserve">Cost of Renewable Energy Credits </t>
  </si>
  <si>
    <t>CON_2014_NEEA_Expend</t>
  </si>
  <si>
    <t>CON_2014_NEEA_MWH</t>
  </si>
  <si>
    <t>REN_Load_2014</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</si>
  <si>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</si>
  <si>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Number of RECs</t>
  </si>
  <si>
    <t>Annual Cost of Renewable Energy Credits</t>
  </si>
  <si>
    <t>Cost per REC</t>
  </si>
  <si>
    <t>Published 3/31/2016</t>
  </si>
  <si>
    <r>
      <t>Deadline:</t>
    </r>
    <r>
      <rPr>
        <sz val="11"/>
        <color rgb="FF000000"/>
        <rFont val="Arial"/>
        <family val="2"/>
      </rPr>
      <t xml:space="preserve"> June 1, 2016</t>
    </r>
  </si>
  <si>
    <t>RENEWABLE ENERGY WORKSHEET – REVISIONS TO 2014 REPORT</t>
  </si>
  <si>
    <r>
      <t xml:space="preserve">In addition to submitting the 2016 report, each qualifying utility should review the renewable energy report it submitted in 2014. In many cases, the specific resources and quantities actually used to comply with the 2014 target differ from what the utility reported in June 2014. </t>
    </r>
    <r>
      <rPr>
        <u/>
        <sz val="11"/>
        <color theme="1"/>
        <rFont val="Arial"/>
        <family val="2"/>
      </rPr>
      <t>Utilities should submit a revised 2014 report if the actual values differ from the values reported in 2014.</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</si>
  <si>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t>
    </r>
  </si>
  <si>
    <t xml:space="preserve">Please use the 2014 template and mark it as "revised." Contact Commerce to obtain a copy of the 2014 reporting template if necessary. </t>
  </si>
  <si>
    <r>
      <rPr>
        <sz val="12"/>
        <color theme="1"/>
        <rFont val="Arial"/>
        <family val="2"/>
      </rPr>
      <t xml:space="preserve">Energy Independence Act (I-937) </t>
    </r>
    <r>
      <rPr>
        <sz val="12"/>
        <color theme="1"/>
        <rFont val="Arial Black"/>
        <family val="2"/>
      </rPr>
      <t>Conservation Report 2016</t>
    </r>
  </si>
  <si>
    <t>2016 - 2017 Planning</t>
  </si>
  <si>
    <t>2015 Achievement</t>
  </si>
  <si>
    <t>2014-2015</t>
  </si>
  <si>
    <t>Biennial</t>
  </si>
  <si>
    <t>2016-2017</t>
  </si>
  <si>
    <t>2016-2025 Ten Year Potential (MWh)</t>
  </si>
  <si>
    <t>2016 - 2017 Target (MWh)</t>
  </si>
  <si>
    <t>Summary of Achievement and Targets (MWh)</t>
  </si>
  <si>
    <t xml:space="preserve">Target </t>
  </si>
  <si>
    <t>Target</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</si>
  <si>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2016</t>
    </r>
  </si>
  <si>
    <t>2016 Compliance Method:</t>
  </si>
  <si>
    <r>
      <t xml:space="preserve">REC Vintage </t>
    </r>
    <r>
      <rPr>
        <sz val="10"/>
        <rFont val="Arial"/>
        <family val="2"/>
      </rPr>
      <t>(Year)</t>
    </r>
  </si>
  <si>
    <t>RECs</t>
  </si>
  <si>
    <t>Total Renewables (MWh+RECs)</t>
  </si>
  <si>
    <t>2015 Annual Load (MWh)</t>
  </si>
  <si>
    <t>2016 Renewable Target (% of load)</t>
  </si>
  <si>
    <t>Eligible Renewable Resources and RECs</t>
  </si>
  <si>
    <t>Incremental Cost of Renewable Resource in 2016</t>
  </si>
  <si>
    <t>Substitute Resource Annual Cost in 2016</t>
  </si>
  <si>
    <t>Renewable Resource Annual Cost in 2016</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</si>
  <si>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2016</t>
    </r>
  </si>
  <si>
    <t>Expenditures on Renewable Resources and RECs - 2016</t>
  </si>
  <si>
    <t>Total annual retail revenue requirement - 2016</t>
  </si>
  <si>
    <t>2016 Eligible Renewable Energy Target (MWh)</t>
  </si>
  <si>
    <t>CON_2015_Commercial_MWH</t>
  </si>
  <si>
    <t>CON_2015_Industrial_MWH</t>
  </si>
  <si>
    <t>CON_2015_Residential_MWH</t>
  </si>
  <si>
    <t>CON_Potential_2015_2023</t>
  </si>
  <si>
    <t>CON_Potential_2016_2025</t>
  </si>
  <si>
    <t>CON_Target_2016_2017</t>
  </si>
  <si>
    <t>REN_Expenditure_Amount_2016</t>
  </si>
  <si>
    <t>REN_Expenditure_Percent_2016</t>
  </si>
  <si>
    <t>REN_Load_2015</t>
  </si>
  <si>
    <t>REN_RetailRevenueRequirement_2016</t>
  </si>
  <si>
    <t>REN_Total_2016</t>
  </si>
  <si>
    <t>CON_2015_Commercial_Expend</t>
  </si>
  <si>
    <t>CON_2015_OtherSector1_Expend</t>
  </si>
  <si>
    <t>CON_2015_OtherSector1_MWH</t>
  </si>
  <si>
    <t>CON_2015_OtherSector2_Expend</t>
  </si>
  <si>
    <t>CON_2015_OtherSector2_MWH</t>
  </si>
  <si>
    <t>CON_2015_Production_Expend</t>
  </si>
  <si>
    <t>CON_2015_Production_MWH</t>
  </si>
  <si>
    <t>CON_2015_Program1_Expend</t>
  </si>
  <si>
    <t>CON_2015_Program2_Expend</t>
  </si>
  <si>
    <t>CON_2015_Agriculture_Expend</t>
  </si>
  <si>
    <t>CON_2015_Agriculture_MWH</t>
  </si>
  <si>
    <t>CON_2015_Distribution_Expend</t>
  </si>
  <si>
    <t>CON_2015_Distribution_MWH</t>
  </si>
  <si>
    <t>CON_2015_Expenditures</t>
  </si>
  <si>
    <t>CON_2015_Industrial_Expend</t>
  </si>
  <si>
    <t>CON_2015_MWH</t>
  </si>
  <si>
    <t>CON_2015_NEEA_Expend</t>
  </si>
  <si>
    <t>CON_2015_NEEA_MWH</t>
  </si>
  <si>
    <t>CON_2015_Residential_Expend</t>
  </si>
  <si>
    <t>Biodiesel</t>
  </si>
  <si>
    <t>Solar</t>
  </si>
  <si>
    <t>Geothermal</t>
  </si>
  <si>
    <t>Resource Type</t>
  </si>
  <si>
    <t>Biomass</t>
  </si>
  <si>
    <t>Qualified Biomass</t>
  </si>
  <si>
    <t>Apprentice Labor Eligibility</t>
  </si>
  <si>
    <t>No</t>
  </si>
  <si>
    <t>Apprentice Labor Amount</t>
  </si>
  <si>
    <t>Distributed Generation Eligibility</t>
  </si>
  <si>
    <t>Distributed Generation Amount</t>
  </si>
  <si>
    <t>Quantity</t>
  </si>
  <si>
    <t>Explanatory Notes (as needed)</t>
  </si>
  <si>
    <t>Apprentice Labor Credit</t>
  </si>
  <si>
    <t>Distributed Generation Credit</t>
  </si>
  <si>
    <t>REC_REC_QBE</t>
  </si>
  <si>
    <t>REN_ERR_QBE</t>
  </si>
  <si>
    <r>
      <t xml:space="preserve">Apprentice Labor Amount </t>
    </r>
    <r>
      <rPr>
        <sz val="9"/>
        <color theme="1"/>
        <rFont val="Arial"/>
        <family val="2"/>
      </rPr>
      <t>(MWh equiv.)</t>
    </r>
  </si>
  <si>
    <r>
      <t xml:space="preserve">Generation Amount </t>
    </r>
    <r>
      <rPr>
        <sz val="9"/>
        <color theme="1"/>
        <rFont val="Arial"/>
        <family val="2"/>
      </rPr>
      <t>(MWh)</t>
    </r>
  </si>
  <si>
    <t>Notes, including a brief description of the methodology used to establish the utility's ten-year potential and biennial target to capture cost-effective conservation:</t>
  </si>
  <si>
    <t>Enter information in green-shaded fields.</t>
  </si>
  <si>
    <t>Do not modify blue-shaded fields.</t>
  </si>
  <si>
    <r>
      <t xml:space="preserve">Energy Independence Act (I-937) </t>
    </r>
    <r>
      <rPr>
        <sz val="11"/>
        <color rgb="FF000000"/>
        <rFont val="Arial Black"/>
        <family val="2"/>
      </rPr>
      <t>Report Workbook</t>
    </r>
  </si>
  <si>
    <t>Surplus (Deficit)</t>
  </si>
  <si>
    <t>Utility Name</t>
  </si>
  <si>
    <r>
      <t>Questions:</t>
    </r>
    <r>
      <rPr>
        <sz val="11"/>
        <color rgb="FF000000"/>
        <rFont val="Arial"/>
        <family val="2"/>
      </rPr>
      <t xml:space="preserve"> Glenn Blackmon, State Energy Office, (360) 725-3115, </t>
    </r>
    <r>
      <rPr>
        <b/>
        <sz val="11"/>
        <color theme="3"/>
        <rFont val="Arial"/>
        <family val="2"/>
      </rPr>
      <t>glenn.blackmon@commerce.wa.gov</t>
    </r>
  </si>
  <si>
    <t>Tacoma Power</t>
  </si>
  <si>
    <t>John Walkowiak</t>
  </si>
  <si>
    <t>253-502-8534</t>
  </si>
  <si>
    <t>jwalkowiak@cityoftacoma.org</t>
  </si>
  <si>
    <t>Average of 2014 &amp; 2015 Annual Loads (MWh)</t>
  </si>
  <si>
    <t>Mossyrock Rebuild</t>
  </si>
  <si>
    <t>Improved Turbine Efficiency</t>
  </si>
  <si>
    <t>Yes</t>
  </si>
  <si>
    <t>Reduced Wicket Gate Leakage</t>
  </si>
  <si>
    <t>Improved Transformer Efficiency</t>
  </si>
  <si>
    <t>Cushman No. 2</t>
  </si>
  <si>
    <t xml:space="preserve">              Reduced Butterfly Leakage</t>
  </si>
  <si>
    <t xml:space="preserve">                   Cushman NorthFork</t>
  </si>
  <si>
    <t xml:space="preserve">                                      Unit 34</t>
  </si>
  <si>
    <t xml:space="preserve">                                      Unit 35</t>
  </si>
  <si>
    <t xml:space="preserve">                       LaGrande Unit No. 6</t>
  </si>
  <si>
    <t>Tacoma Share 0.29% of total 1,186,816 MWh</t>
  </si>
  <si>
    <t>Carryover RECS 2015</t>
  </si>
  <si>
    <t>See other notes and info below</t>
  </si>
  <si>
    <t>Klondike I</t>
  </si>
  <si>
    <t>Klondike III</t>
  </si>
  <si>
    <t>Stateline 248</t>
  </si>
  <si>
    <t xml:space="preserve">                                     Condon I</t>
  </si>
  <si>
    <t xml:space="preserve">                                      Condon II</t>
  </si>
  <si>
    <t xml:space="preserve">                               Bennett Creek</t>
  </si>
  <si>
    <t xml:space="preserve">                               Hot Springs</t>
  </si>
  <si>
    <t xml:space="preserve">                              Pilgrim Stage</t>
  </si>
  <si>
    <t>Milner Dam</t>
  </si>
  <si>
    <t>Burley Butte</t>
  </si>
  <si>
    <t xml:space="preserve">    BPA Tier I REC 2016</t>
  </si>
  <si>
    <t xml:space="preserve">     Iberdrola REC 2016</t>
  </si>
  <si>
    <t xml:space="preserve">Idaho Wind Partners REC 2016  </t>
  </si>
  <si>
    <t>Chelan PUD REC 2016</t>
  </si>
  <si>
    <t>Nine Canyons</t>
  </si>
  <si>
    <t>Nine Canyons Phase 3</t>
  </si>
  <si>
    <t xml:space="preserve">Constellation/Exelon REC 2016  </t>
  </si>
  <si>
    <t xml:space="preserve">Grays Harbor PUD #1 REC 2016  </t>
  </si>
  <si>
    <t>W238</t>
  </si>
  <si>
    <t>W237</t>
  </si>
  <si>
    <t>W248</t>
  </si>
  <si>
    <t>W774</t>
  </si>
  <si>
    <t>W833</t>
  </si>
  <si>
    <t>W542</t>
  </si>
  <si>
    <t>W543</t>
  </si>
  <si>
    <t>W1884</t>
  </si>
  <si>
    <t>W1863</t>
  </si>
  <si>
    <t>W1864</t>
  </si>
  <si>
    <t>W684</t>
  </si>
  <si>
    <t>W697</t>
  </si>
  <si>
    <t>Grant PUD Wanapum/Priest Rapids</t>
  </si>
  <si>
    <t>Deduction for ACS Sales</t>
  </si>
  <si>
    <t>Pro rata share from Incremental Hydro totals</t>
  </si>
  <si>
    <t>Includes Apprenticeship Credit</t>
  </si>
  <si>
    <t>Pro rata Incremental hydro + apprenticeship credit</t>
  </si>
  <si>
    <t>Jeff Stafford/Conservation Resources Management</t>
  </si>
  <si>
    <t>(253) 502-8940</t>
  </si>
  <si>
    <t>jstafford@cityoftacoma.org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</si>
</sst>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0" x14ac:knownFonts="1">
    <font>
      <sz val="11"/>
      <color theme="1"/>
      <name val="Calibri"/>
      <family val="2"/>
      <scheme val="minor"/>
    </font>
    <font>
      <sz val="10"/>
      <name val="Arial"/>
      <family val="2"/>
    </font>
    <font>
      <b/>
      <sz val="10"/>
      <name val="Arial"/>
      <family val="2"/>
    </font>
    <font>
      <sz val="12"/>
      <color indexed="8"/>
      <name val="Arial Black"/>
      <family val="2"/>
    </font>
    <font>
      <sz val="12"/>
      <color indexed="8"/>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b/>
      <sz val="11"/>
      <color rgb="FF000000"/>
      <name val="Arial"/>
      <family val="2"/>
    </font>
    <font>
      <b/>
      <sz val="11"/>
      <color rgb="FF993300"/>
      <name val="Arial"/>
      <family val="2"/>
    </font>
    <font>
      <b/>
      <sz val="11"/>
      <color theme="1"/>
      <name val="Arial"/>
      <family val="2"/>
    </font>
    <font>
      <b/>
      <sz val="12"/>
      <color theme="1"/>
      <name val="Arial"/>
      <family val="2"/>
    </font>
    <font>
      <sz val="9"/>
      <color indexed="81"/>
      <name val="Tahoma"/>
      <family val="2"/>
    </font>
    <font>
      <b/>
      <sz val="9"/>
      <color indexed="81"/>
      <name val="Tahoma"/>
      <family val="2"/>
    </font>
    <font>
      <b/>
      <sz val="14"/>
      <color theme="1"/>
      <name val="Arial"/>
      <family val="2"/>
    </font>
    <font>
      <b/>
      <sz val="11"/>
      <color theme="3"/>
      <name val="Arial"/>
      <family val="2"/>
    </font>
  </fonts>
  <fills count="10">
    <fill>
      <patternFill patternType="none"/>
    </fill>
    <fill>
      <patternFill patternType="gray125"/>
    </fill>
    <fill>
      <patternFill patternType="solid">
        <fgColor theme="0"/>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4.9989318521683403E-2"/>
        <bgColor indexed="64"/>
      </patternFill>
    </fill>
  </fills>
  <borders count="55">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s>
  <cellStyleXfs count="7">
    <xf numFmtId="0" fontId="0"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xf numFmtId="0" fontId="1" fillId="0" borderId="0"/>
    <xf numFmtId="43" fontId="1" fillId="0" borderId="0" applyFont="0" applyFill="0" applyBorder="0" applyAlignment="0" applyProtection="0"/>
  </cellStyleXfs>
  <cellXfs count="297">
    <xf numFmtId="0" fontId="0" fillId="0" borderId="0" xfId="0"/>
    <xf numFmtId="0" fontId="8" fillId="2" borderId="0" xfId="0" applyFont="1" applyFill="1"/>
    <xf numFmtId="0" fontId="9" fillId="2" borderId="0" xfId="0" applyFont="1" applyFill="1" applyBorder="1" applyAlignment="1"/>
    <xf numFmtId="0" fontId="9" fillId="2" borderId="0" xfId="0" applyFont="1" applyFill="1" applyBorder="1" applyAlignment="1">
      <alignment horizontal="right"/>
    </xf>
    <xf numFmtId="0" fontId="8" fillId="2" borderId="0" xfId="0" applyFont="1" applyFill="1" applyBorder="1" applyAlignment="1">
      <alignment horizontal="right"/>
    </xf>
    <xf numFmtId="0" fontId="8" fillId="2" borderId="0" xfId="0" applyFont="1" applyFill="1" applyAlignment="1">
      <alignment horizontal="right"/>
    </xf>
    <xf numFmtId="0" fontId="9" fillId="2" borderId="0" xfId="0" applyFont="1" applyFill="1" applyBorder="1" applyAlignment="1">
      <alignment horizontal="left"/>
    </xf>
    <xf numFmtId="0" fontId="8" fillId="2" borderId="0" xfId="0" applyFont="1" applyFill="1" applyBorder="1"/>
    <xf numFmtId="0" fontId="8" fillId="2" borderId="0" xfId="0" applyFont="1" applyFill="1" applyBorder="1" applyAlignment="1">
      <alignment horizontal="center"/>
    </xf>
    <xf numFmtId="0" fontId="9" fillId="2" borderId="0" xfId="0" applyFont="1" applyFill="1" applyAlignment="1">
      <alignment horizontal="right"/>
    </xf>
    <xf numFmtId="0" fontId="9" fillId="2" borderId="0" xfId="0" applyFont="1" applyFill="1"/>
    <xf numFmtId="0" fontId="8" fillId="2" borderId="0" xfId="0" applyFont="1" applyFill="1" applyAlignment="1"/>
    <xf numFmtId="0" fontId="11" fillId="2" borderId="0" xfId="0" applyFont="1" applyFill="1" applyAlignment="1">
      <alignment horizontal="center" vertical="center"/>
    </xf>
    <xf numFmtId="0" fontId="8" fillId="2" borderId="7" xfId="0" applyFont="1" applyFill="1" applyBorder="1"/>
    <xf numFmtId="0" fontId="12" fillId="2" borderId="0" xfId="0" applyFont="1" applyFill="1" applyBorder="1" applyAlignment="1">
      <alignment horizontal="center" vertical="center" wrapText="1"/>
    </xf>
    <xf numFmtId="0" fontId="1" fillId="2" borderId="11" xfId="0" applyFont="1" applyFill="1" applyBorder="1" applyAlignment="1" applyProtection="1">
      <alignment horizontal="right"/>
    </xf>
    <xf numFmtId="166" fontId="8" fillId="2" borderId="0" xfId="2" applyNumberFormat="1" applyFont="1" applyFill="1" applyBorder="1" applyAlignment="1">
      <alignment horizontal="right"/>
    </xf>
    <xf numFmtId="166" fontId="8" fillId="2" borderId="0" xfId="0" applyNumberFormat="1" applyFont="1" applyFill="1" applyBorder="1"/>
    <xf numFmtId="0" fontId="8" fillId="2" borderId="0" xfId="0" applyFont="1" applyFill="1" applyBorder="1" applyAlignment="1">
      <alignment horizontal="left"/>
    </xf>
    <xf numFmtId="0" fontId="13" fillId="2" borderId="26" xfId="0" applyFont="1" applyFill="1" applyBorder="1" applyAlignment="1">
      <alignment horizontal="right"/>
    </xf>
    <xf numFmtId="0" fontId="13" fillId="2" borderId="27" xfId="0" applyFont="1" applyFill="1" applyBorder="1" applyAlignment="1">
      <alignment horizontal="right"/>
    </xf>
    <xf numFmtId="0" fontId="13" fillId="2" borderId="0" xfId="0" applyFont="1" applyFill="1" applyAlignment="1">
      <alignment horizontal="right"/>
    </xf>
    <xf numFmtId="0" fontId="14" fillId="2" borderId="0" xfId="0" applyFont="1" applyFill="1"/>
    <xf numFmtId="0" fontId="14" fillId="2" borderId="0" xfId="0" applyFont="1" applyFill="1" applyBorder="1" applyAlignment="1"/>
    <xf numFmtId="0" fontId="13" fillId="2" borderId="0" xfId="0" applyFont="1" applyFill="1" applyBorder="1"/>
    <xf numFmtId="0" fontId="13" fillId="2" borderId="0" xfId="0" applyFont="1" applyFill="1"/>
    <xf numFmtId="0" fontId="5" fillId="2" borderId="0" xfId="0" applyNumberFormat="1" applyFont="1" applyFill="1" applyBorder="1" applyAlignment="1"/>
    <xf numFmtId="0" fontId="2" fillId="2" borderId="0" xfId="0" applyFont="1" applyFill="1" applyAlignment="1">
      <alignment horizontal="center"/>
    </xf>
    <xf numFmtId="0" fontId="1" fillId="2" borderId="0" xfId="0" applyFont="1" applyFill="1" applyBorder="1" applyAlignment="1">
      <alignment horizontal="right"/>
    </xf>
    <xf numFmtId="0" fontId="8" fillId="2" borderId="30" xfId="0" applyFont="1" applyFill="1" applyBorder="1"/>
    <xf numFmtId="0" fontId="8" fillId="2" borderId="35" xfId="0" applyFont="1" applyFill="1" applyBorder="1"/>
    <xf numFmtId="0" fontId="8" fillId="2" borderId="29" xfId="0" applyFont="1" applyFill="1" applyBorder="1"/>
    <xf numFmtId="0" fontId="1" fillId="2" borderId="29" xfId="0" applyFont="1" applyFill="1" applyBorder="1" applyAlignment="1">
      <alignment horizontal="right"/>
    </xf>
    <xf numFmtId="0" fontId="8" fillId="2" borderId="30" xfId="0" applyFont="1" applyFill="1" applyBorder="1" applyAlignment="1"/>
    <xf numFmtId="0" fontId="18" fillId="2" borderId="0" xfId="0" applyFont="1" applyFill="1" applyBorder="1" applyAlignment="1">
      <alignment vertical="top" wrapText="1"/>
    </xf>
    <xf numFmtId="0" fontId="18" fillId="2" borderId="29" xfId="0" applyFont="1" applyFill="1" applyBorder="1" applyAlignment="1">
      <alignment vertical="top" wrapText="1"/>
    </xf>
    <xf numFmtId="0" fontId="14" fillId="2" borderId="0" xfId="0" applyFont="1" applyFill="1" applyBorder="1"/>
    <xf numFmtId="0" fontId="18" fillId="2" borderId="35" xfId="0" applyFont="1" applyFill="1" applyBorder="1" applyAlignment="1">
      <alignment vertical="top"/>
    </xf>
    <xf numFmtId="0" fontId="19" fillId="0" borderId="37" xfId="0" applyFont="1" applyBorder="1" applyAlignment="1">
      <alignment vertical="center" wrapText="1"/>
    </xf>
    <xf numFmtId="0" fontId="19" fillId="0" borderId="38"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9" fillId="2" borderId="0" xfId="0" applyFont="1" applyFill="1" applyBorder="1" applyAlignment="1">
      <alignment horizontal="center"/>
    </xf>
    <xf numFmtId="0" fontId="0" fillId="0" borderId="0" xfId="0" applyNumberFormat="1"/>
    <xf numFmtId="169" fontId="8" fillId="6" borderId="11" xfId="0" applyNumberFormat="1" applyFont="1" applyFill="1" applyBorder="1" applyAlignment="1"/>
    <xf numFmtId="167" fontId="8" fillId="6" borderId="12" xfId="4" applyNumberFormat="1" applyFont="1" applyFill="1" applyBorder="1" applyAlignment="1">
      <alignment horizontal="center"/>
    </xf>
    <xf numFmtId="0" fontId="8" fillId="2" borderId="0" xfId="0" applyFont="1" applyFill="1" applyBorder="1" applyAlignment="1"/>
    <xf numFmtId="0" fontId="12" fillId="2" borderId="7" xfId="0" applyFont="1" applyFill="1" applyBorder="1" applyAlignment="1">
      <alignment horizontal="center" wrapText="1"/>
    </xf>
    <xf numFmtId="0" fontId="11" fillId="2" borderId="29" xfId="0" applyFont="1" applyFill="1" applyBorder="1" applyAlignment="1">
      <alignment horizontal="center" vertical="center"/>
    </xf>
    <xf numFmtId="165" fontId="8" fillId="6" borderId="1" xfId="1" applyNumberFormat="1" applyFont="1" applyFill="1" applyBorder="1"/>
    <xf numFmtId="165" fontId="8" fillId="6" borderId="2" xfId="1" applyNumberFormat="1" applyFont="1" applyFill="1" applyBorder="1"/>
    <xf numFmtId="165" fontId="8" fillId="6" borderId="3" xfId="1" applyNumberFormat="1" applyFont="1" applyFill="1" applyBorder="1"/>
    <xf numFmtId="0" fontId="12" fillId="2" borderId="5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2" xfId="0" applyFont="1" applyFill="1" applyBorder="1" applyAlignment="1">
      <alignment horizontal="center" vertical="center" wrapText="1"/>
    </xf>
    <xf numFmtId="165" fontId="8" fillId="6" borderId="20" xfId="1" applyNumberFormat="1" applyFont="1" applyFill="1" applyBorder="1"/>
    <xf numFmtId="164" fontId="8" fillId="3" borderId="33" xfId="0" applyNumberFormat="1" applyFont="1" applyFill="1" applyBorder="1" applyAlignment="1">
      <alignment horizontal="center"/>
    </xf>
    <xf numFmtId="164" fontId="8" fillId="3" borderId="53" xfId="0" applyNumberFormat="1" applyFont="1" applyFill="1" applyBorder="1" applyAlignment="1">
      <alignment horizontal="center"/>
    </xf>
    <xf numFmtId="165" fontId="8" fillId="6" borderId="47" xfId="1" applyNumberFormat="1" applyFont="1" applyFill="1" applyBorder="1"/>
    <xf numFmtId="165" fontId="8" fillId="6" borderId="51" xfId="1" applyNumberFormat="1" applyFont="1" applyFill="1" applyBorder="1"/>
    <xf numFmtId="0" fontId="12" fillId="2" borderId="8" xfId="0" applyFont="1" applyFill="1" applyBorder="1" applyAlignment="1">
      <alignment horizontal="center" vertical="center" wrapText="1"/>
    </xf>
    <xf numFmtId="165" fontId="8" fillId="6" borderId="16" xfId="1" applyNumberFormat="1" applyFont="1" applyFill="1" applyBorder="1"/>
    <xf numFmtId="165" fontId="8" fillId="6" borderId="17" xfId="1" applyNumberFormat="1" applyFont="1" applyFill="1" applyBorder="1"/>
    <xf numFmtId="165" fontId="8" fillId="6" borderId="8" xfId="1" applyNumberFormat="1" applyFont="1" applyFill="1" applyBorder="1"/>
    <xf numFmtId="165" fontId="8" fillId="6" borderId="23" xfId="1" applyNumberFormat="1" applyFont="1" applyFill="1" applyBorder="1"/>
    <xf numFmtId="0" fontId="2" fillId="2" borderId="29" xfId="0" applyFont="1" applyFill="1" applyBorder="1" applyAlignment="1"/>
    <xf numFmtId="0" fontId="12" fillId="2" borderId="7" xfId="0" applyFont="1" applyFill="1" applyBorder="1" applyAlignment="1">
      <alignment wrapText="1"/>
    </xf>
    <xf numFmtId="165" fontId="8" fillId="6" borderId="21" xfId="1" applyNumberFormat="1" applyFont="1" applyFill="1" applyBorder="1" applyAlignment="1">
      <alignment horizontal="right"/>
    </xf>
    <xf numFmtId="165" fontId="8" fillId="6" borderId="2" xfId="1" applyNumberFormat="1" applyFont="1" applyFill="1" applyBorder="1" applyAlignment="1">
      <alignment horizontal="right"/>
    </xf>
    <xf numFmtId="0" fontId="22" fillId="5" borderId="0" xfId="0" applyFont="1" applyFill="1" applyBorder="1" applyAlignment="1">
      <alignment vertical="center" wrapText="1"/>
    </xf>
    <xf numFmtId="0" fontId="21" fillId="5" borderId="0" xfId="0" applyFont="1" applyFill="1" applyBorder="1" applyAlignment="1">
      <alignment vertical="center"/>
    </xf>
    <xf numFmtId="168" fontId="21" fillId="5" borderId="0" xfId="0" applyNumberFormat="1" applyFont="1" applyFill="1" applyBorder="1" applyAlignment="1">
      <alignment horizontal="left" vertical="center"/>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12" fillId="2" borderId="0" xfId="0" applyFont="1" applyFill="1" applyBorder="1" applyAlignment="1">
      <alignment horizontal="center" wrapText="1"/>
    </xf>
    <xf numFmtId="0" fontId="1" fillId="2" borderId="0" xfId="0" applyFont="1" applyFill="1" applyBorder="1" applyAlignment="1">
      <alignment horizontal="right" wrapText="1"/>
    </xf>
    <xf numFmtId="0" fontId="8" fillId="2" borderId="0" xfId="0" applyFont="1" applyFill="1" applyProtection="1">
      <protection locked="0"/>
    </xf>
    <xf numFmtId="0" fontId="8" fillId="2" borderId="0" xfId="0" applyFont="1" applyFill="1" applyBorder="1" applyProtection="1">
      <protection locked="0"/>
    </xf>
    <xf numFmtId="165" fontId="8" fillId="7" borderId="2" xfId="1" applyNumberFormat="1" applyFont="1" applyFill="1" applyBorder="1" applyAlignment="1" applyProtection="1">
      <alignment horizontal="right"/>
      <protection locked="0"/>
    </xf>
    <xf numFmtId="165" fontId="8" fillId="7" borderId="17" xfId="1" applyNumberFormat="1" applyFont="1" applyFill="1" applyBorder="1" applyAlignment="1" applyProtection="1">
      <alignment horizontal="right"/>
      <protection locked="0"/>
    </xf>
    <xf numFmtId="165" fontId="8" fillId="7" borderId="6" xfId="1" applyNumberFormat="1" applyFont="1" applyFill="1" applyBorder="1" applyAlignment="1" applyProtection="1">
      <alignment horizontal="center"/>
      <protection locked="0"/>
    </xf>
    <xf numFmtId="169" fontId="8" fillId="7" borderId="21" xfId="1" applyNumberFormat="1" applyFont="1" applyFill="1" applyBorder="1" applyAlignment="1" applyProtection="1">
      <alignment horizontal="right"/>
      <protection locked="0"/>
    </xf>
    <xf numFmtId="165" fontId="8" fillId="7" borderId="6" xfId="0" applyNumberFormat="1" applyFont="1" applyFill="1" applyBorder="1" applyAlignment="1" applyProtection="1">
      <alignment horizontal="center"/>
      <protection locked="0"/>
    </xf>
    <xf numFmtId="0" fontId="9" fillId="7" borderId="11" xfId="0" applyFont="1" applyFill="1" applyBorder="1" applyProtection="1">
      <protection locked="0"/>
    </xf>
    <xf numFmtId="0" fontId="9" fillId="7" borderId="11" xfId="0" applyFont="1" applyFill="1" applyBorder="1" applyAlignment="1" applyProtection="1">
      <alignment vertical="center" wrapText="1"/>
      <protection locked="0"/>
    </xf>
    <xf numFmtId="0" fontId="9" fillId="2" borderId="0" xfId="0" applyFont="1" applyFill="1" applyAlignment="1" applyProtection="1">
      <alignment horizontal="right"/>
      <protection locked="0"/>
    </xf>
    <xf numFmtId="0" fontId="9" fillId="2" borderId="0" xfId="0" applyFont="1" applyFill="1" applyBorder="1" applyAlignment="1" applyProtection="1">
      <alignment horizontal="center"/>
      <protection locked="0"/>
    </xf>
    <xf numFmtId="0" fontId="8" fillId="2" borderId="0" xfId="0" applyFont="1" applyFill="1" applyProtection="1"/>
    <xf numFmtId="0" fontId="16" fillId="2" borderId="0" xfId="0" applyFont="1" applyFill="1" applyBorder="1" applyAlignment="1" applyProtection="1"/>
    <xf numFmtId="0" fontId="8" fillId="2" borderId="0" xfId="0" applyFont="1" applyFill="1" applyBorder="1" applyProtection="1"/>
    <xf numFmtId="0" fontId="9" fillId="2" borderId="0" xfId="0" applyFont="1" applyFill="1" applyBorder="1" applyAlignment="1" applyProtection="1"/>
    <xf numFmtId="0" fontId="9" fillId="2" borderId="0" xfId="0" applyFont="1" applyFill="1" applyBorder="1" applyAlignment="1" applyProtection="1">
      <alignment horizontal="right"/>
    </xf>
    <xf numFmtId="0" fontId="8" fillId="2" borderId="0" xfId="0" applyNumberFormat="1" applyFont="1" applyFill="1" applyProtection="1"/>
    <xf numFmtId="0" fontId="8" fillId="2" borderId="0" xfId="0" applyFont="1" applyFill="1" applyBorder="1" applyAlignment="1" applyProtection="1">
      <alignment horizontal="right"/>
    </xf>
    <xf numFmtId="0" fontId="10" fillId="2" borderId="0" xfId="0" applyFont="1" applyFill="1" applyBorder="1" applyProtection="1"/>
    <xf numFmtId="0" fontId="2" fillId="2" borderId="42" xfId="0" applyFont="1" applyFill="1" applyBorder="1" applyAlignment="1" applyProtection="1">
      <alignment horizontal="center"/>
    </xf>
    <xf numFmtId="0" fontId="8" fillId="0" borderId="42" xfId="0" applyFont="1" applyBorder="1" applyAlignment="1" applyProtection="1"/>
    <xf numFmtId="0" fontId="8" fillId="2" borderId="0" xfId="0" applyFont="1" applyFill="1" applyAlignment="1" applyProtection="1">
      <alignment horizontal="right"/>
    </xf>
    <xf numFmtId="0" fontId="9" fillId="2" borderId="0" xfId="0" applyFont="1" applyFill="1" applyAlignment="1" applyProtection="1">
      <alignment horizontal="center"/>
    </xf>
    <xf numFmtId="0" fontId="1" fillId="2" borderId="0" xfId="0" applyFont="1" applyFill="1" applyAlignment="1" applyProtection="1">
      <alignment horizontal="right"/>
    </xf>
    <xf numFmtId="165" fontId="8" fillId="6" borderId="19" xfId="1" applyNumberFormat="1" applyFont="1" applyFill="1" applyBorder="1" applyProtection="1"/>
    <xf numFmtId="165" fontId="8" fillId="6" borderId="43" xfId="0" applyNumberFormat="1" applyFont="1" applyFill="1" applyBorder="1" applyProtection="1"/>
    <xf numFmtId="165" fontId="8" fillId="6" borderId="13" xfId="1" applyNumberFormat="1" applyFont="1" applyFill="1" applyBorder="1" applyProtection="1"/>
    <xf numFmtId="0" fontId="8" fillId="2" borderId="0" xfId="0" applyFont="1" applyFill="1" applyAlignment="1" applyProtection="1">
      <alignment horizontal="left"/>
    </xf>
    <xf numFmtId="165" fontId="8" fillId="6" borderId="44" xfId="1" applyNumberFormat="1" applyFont="1" applyFill="1" applyBorder="1" applyProtection="1"/>
    <xf numFmtId="0" fontId="8" fillId="2" borderId="0" xfId="0" applyFont="1" applyFill="1" applyBorder="1" applyAlignment="1" applyProtection="1"/>
    <xf numFmtId="0" fontId="9" fillId="2" borderId="25" xfId="0" applyFont="1" applyFill="1" applyBorder="1" applyAlignment="1" applyProtection="1">
      <alignment horizontal="center" wrapText="1"/>
    </xf>
    <xf numFmtId="0" fontId="9" fillId="2" borderId="36" xfId="0" applyFont="1" applyFill="1" applyBorder="1" applyAlignment="1" applyProtection="1">
      <alignment horizontal="center" wrapText="1"/>
    </xf>
    <xf numFmtId="0" fontId="8" fillId="2" borderId="5" xfId="0" applyFont="1" applyFill="1" applyBorder="1" applyProtection="1"/>
    <xf numFmtId="0" fontId="9" fillId="2" borderId="6" xfId="0" applyFont="1" applyFill="1" applyBorder="1" applyAlignment="1" applyProtection="1">
      <alignment horizontal="right"/>
    </xf>
    <xf numFmtId="0" fontId="9" fillId="2" borderId="4" xfId="0" applyFont="1" applyFill="1" applyBorder="1" applyAlignment="1" applyProtection="1">
      <alignment horizontal="center" wrapText="1"/>
    </xf>
    <xf numFmtId="0" fontId="8" fillId="2" borderId="11" xfId="0" applyFont="1" applyFill="1" applyBorder="1" applyAlignment="1" applyProtection="1">
      <alignment horizontal="right"/>
    </xf>
    <xf numFmtId="169" fontId="8" fillId="2" borderId="0" xfId="0" applyNumberFormat="1" applyFont="1" applyFill="1" applyAlignment="1" applyProtection="1">
      <alignment horizontal="right"/>
    </xf>
    <xf numFmtId="164" fontId="8" fillId="4" borderId="24" xfId="0" applyNumberFormat="1" applyFont="1" applyFill="1" applyBorder="1" applyAlignment="1" applyProtection="1">
      <alignment horizontal="center"/>
    </xf>
    <xf numFmtId="164" fontId="8" fillId="4" borderId="25" xfId="0" applyNumberFormat="1" applyFont="1" applyFill="1" applyBorder="1" applyAlignment="1" applyProtection="1">
      <alignment horizontal="center"/>
    </xf>
    <xf numFmtId="0" fontId="9" fillId="2" borderId="12" xfId="0" applyFont="1" applyFill="1" applyBorder="1" applyProtection="1"/>
    <xf numFmtId="165" fontId="9" fillId="6" borderId="10" xfId="0" applyNumberFormat="1" applyFont="1" applyFill="1" applyBorder="1" applyAlignment="1" applyProtection="1">
      <alignment horizontal="center"/>
    </xf>
    <xf numFmtId="169" fontId="9" fillId="6" borderId="2" xfId="1" applyNumberFormat="1" applyFont="1" applyFill="1" applyBorder="1" applyAlignment="1" applyProtection="1">
      <alignment horizontal="right"/>
    </xf>
    <xf numFmtId="0" fontId="9" fillId="2" borderId="0" xfId="0" applyFont="1" applyFill="1" applyBorder="1" applyProtection="1"/>
    <xf numFmtId="165" fontId="9" fillId="2" borderId="0" xfId="0" applyNumberFormat="1" applyFont="1" applyFill="1" applyBorder="1" applyAlignment="1" applyProtection="1">
      <alignment horizontal="center"/>
    </xf>
    <xf numFmtId="165" fontId="9" fillId="2" borderId="0" xfId="1" applyNumberFormat="1" applyFont="1" applyFill="1" applyBorder="1" applyAlignment="1" applyProtection="1">
      <alignment horizontal="center"/>
    </xf>
    <xf numFmtId="0" fontId="9" fillId="2" borderId="0" xfId="0" applyFont="1" applyFill="1" applyAlignment="1" applyProtection="1">
      <alignment horizontal="right"/>
    </xf>
    <xf numFmtId="0" fontId="9" fillId="2" borderId="0" xfId="0" applyFont="1" applyFill="1" applyBorder="1" applyAlignment="1" applyProtection="1">
      <alignment horizontal="center"/>
    </xf>
    <xf numFmtId="0" fontId="1" fillId="7" borderId="48" xfId="0" applyFont="1" applyFill="1" applyBorder="1" applyAlignment="1" applyProtection="1">
      <alignment horizontal="right"/>
      <protection locked="0"/>
    </xf>
    <xf numFmtId="165" fontId="8" fillId="7" borderId="1" xfId="1" applyNumberFormat="1" applyFont="1" applyFill="1" applyBorder="1" applyProtection="1">
      <protection locked="0"/>
    </xf>
    <xf numFmtId="0" fontId="1" fillId="7" borderId="49" xfId="0" applyFont="1" applyFill="1" applyBorder="1" applyAlignment="1" applyProtection="1">
      <alignment horizontal="right"/>
      <protection locked="0"/>
    </xf>
    <xf numFmtId="165" fontId="8" fillId="7" borderId="21" xfId="1" applyNumberFormat="1" applyFont="1" applyFill="1" applyBorder="1" applyAlignment="1" applyProtection="1">
      <alignment horizontal="right"/>
      <protection locked="0"/>
    </xf>
    <xf numFmtId="0" fontId="1" fillId="7" borderId="49" xfId="0" applyFont="1" applyFill="1" applyBorder="1" applyAlignment="1" applyProtection="1">
      <alignment horizontal="right" wrapText="1"/>
      <protection locked="0"/>
    </xf>
    <xf numFmtId="0" fontId="2" fillId="7" borderId="49" xfId="0" applyFont="1" applyFill="1" applyBorder="1" applyAlignment="1" applyProtection="1">
      <alignment horizontal="right"/>
      <protection locked="0"/>
    </xf>
    <xf numFmtId="0" fontId="9" fillId="7" borderId="11" xfId="0" applyFont="1" applyFill="1" applyBorder="1" applyAlignment="1" applyProtection="1">
      <alignment horizontal="left"/>
      <protection locked="0"/>
    </xf>
    <xf numFmtId="0" fontId="9" fillId="7" borderId="49" xfId="0" applyFont="1" applyFill="1" applyBorder="1" applyProtection="1">
      <protection locked="0"/>
    </xf>
    <xf numFmtId="0" fontId="9" fillId="7" borderId="15" xfId="0" applyFont="1" applyFill="1" applyBorder="1" applyAlignment="1" applyProtection="1">
      <alignment horizontal="left"/>
      <protection locked="0"/>
    </xf>
    <xf numFmtId="0" fontId="9" fillId="7" borderId="50" xfId="0" applyFont="1" applyFill="1" applyBorder="1" applyProtection="1">
      <protection locked="0"/>
    </xf>
    <xf numFmtId="165" fontId="8" fillId="7" borderId="10" xfId="1" applyNumberFormat="1" applyFont="1" applyFill="1" applyBorder="1" applyAlignment="1" applyProtection="1">
      <alignment horizontal="center"/>
      <protection locked="0"/>
    </xf>
    <xf numFmtId="165" fontId="8" fillId="7" borderId="22" xfId="1" applyNumberFormat="1" applyFont="1" applyFill="1" applyBorder="1" applyAlignment="1" applyProtection="1">
      <protection locked="0"/>
    </xf>
    <xf numFmtId="165" fontId="8" fillId="7" borderId="13" xfId="1" applyNumberFormat="1" applyFont="1" applyFill="1" applyBorder="1" applyAlignment="1" applyProtection="1">
      <protection locked="0"/>
    </xf>
    <xf numFmtId="165" fontId="8" fillId="7" borderId="6" xfId="1" applyNumberFormat="1" applyFont="1" applyFill="1" applyBorder="1" applyAlignment="1" applyProtection="1">
      <protection locked="0"/>
    </xf>
    <xf numFmtId="165" fontId="8" fillId="7" borderId="45" xfId="1" applyNumberFormat="1" applyFont="1" applyFill="1" applyBorder="1" applyProtection="1">
      <protection locked="0"/>
    </xf>
    <xf numFmtId="165" fontId="8" fillId="7" borderId="31" xfId="1" applyNumberFormat="1" applyFont="1" applyFill="1" applyBorder="1" applyProtection="1">
      <protection locked="0"/>
    </xf>
    <xf numFmtId="165" fontId="8" fillId="7" borderId="46" xfId="1" applyNumberFormat="1" applyFont="1" applyFill="1" applyBorder="1" applyProtection="1">
      <protection locked="0"/>
    </xf>
    <xf numFmtId="165" fontId="8" fillId="7" borderId="11" xfId="1" applyNumberFormat="1" applyFont="1" applyFill="1" applyBorder="1" applyProtection="1">
      <protection locked="0"/>
    </xf>
    <xf numFmtId="165" fontId="8" fillId="7" borderId="49" xfId="1" applyNumberFormat="1" applyFont="1" applyFill="1" applyBorder="1" applyProtection="1">
      <protection locked="0"/>
    </xf>
    <xf numFmtId="165" fontId="8" fillId="7" borderId="21" xfId="1" applyNumberFormat="1" applyFont="1" applyFill="1" applyBorder="1" applyProtection="1">
      <protection locked="0"/>
    </xf>
    <xf numFmtId="165" fontId="8" fillId="7" borderId="47" xfId="1" applyNumberFormat="1" applyFont="1" applyFill="1" applyBorder="1" applyProtection="1">
      <protection locked="0"/>
    </xf>
    <xf numFmtId="165" fontId="8" fillId="7" borderId="15" xfId="1" applyNumberFormat="1" applyFont="1" applyFill="1" applyBorder="1" applyProtection="1">
      <protection locked="0"/>
    </xf>
    <xf numFmtId="165" fontId="8" fillId="7" borderId="50" xfId="1" applyNumberFormat="1" applyFont="1" applyFill="1" applyBorder="1" applyProtection="1">
      <protection locked="0"/>
    </xf>
    <xf numFmtId="165" fontId="8" fillId="7" borderId="2" xfId="1" applyNumberFormat="1" applyFont="1" applyFill="1" applyBorder="1" applyProtection="1">
      <protection locked="0"/>
    </xf>
    <xf numFmtId="165" fontId="8" fillId="6" borderId="21" xfId="1" applyNumberFormat="1" applyFont="1" applyFill="1" applyBorder="1"/>
    <xf numFmtId="0" fontId="8" fillId="2" borderId="0" xfId="0" applyFont="1" applyFill="1" applyAlignment="1" applyProtection="1">
      <alignment horizontal="center"/>
      <protection locked="0"/>
    </xf>
    <xf numFmtId="0" fontId="5" fillId="2" borderId="0" xfId="0" applyNumberFormat="1" applyFont="1" applyFill="1" applyBorder="1" applyAlignment="1" applyProtection="1">
      <protection locked="0"/>
    </xf>
    <xf numFmtId="0" fontId="25" fillId="2" borderId="0" xfId="0" applyFont="1" applyFill="1" applyBorder="1" applyAlignment="1" applyProtection="1">
      <alignment horizontal="left"/>
      <protection locked="0"/>
    </xf>
    <xf numFmtId="0" fontId="9" fillId="2" borderId="0" xfId="0" applyFont="1" applyFill="1" applyBorder="1" applyAlignment="1" applyProtection="1">
      <alignment horizontal="left"/>
      <protection locked="0"/>
    </xf>
    <xf numFmtId="0" fontId="8" fillId="2" borderId="0"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12" fillId="2" borderId="0" xfId="0" applyFont="1" applyFill="1" applyAlignment="1" applyProtection="1">
      <alignment horizontal="center"/>
      <protection locked="0"/>
    </xf>
    <xf numFmtId="0" fontId="12" fillId="2" borderId="0" xfId="0" applyFont="1" applyFill="1" applyAlignment="1" applyProtection="1">
      <alignment horizontal="center" wrapText="1"/>
      <protection locked="0"/>
    </xf>
    <xf numFmtId="169" fontId="8" fillId="7" borderId="1" xfId="1" applyNumberFormat="1" applyFont="1" applyFill="1" applyBorder="1" applyProtection="1">
      <protection locked="0"/>
    </xf>
    <xf numFmtId="169" fontId="8" fillId="7" borderId="21" xfId="1" applyNumberFormat="1" applyFont="1" applyFill="1" applyBorder="1" applyProtection="1">
      <protection locked="0"/>
    </xf>
    <xf numFmtId="169" fontId="8" fillId="7" borderId="2" xfId="1" applyNumberFormat="1" applyFont="1" applyFill="1" applyBorder="1" applyProtection="1">
      <protection locked="0"/>
    </xf>
    <xf numFmtId="0" fontId="9" fillId="2" borderId="0" xfId="0" applyFont="1" applyFill="1" applyBorder="1" applyAlignment="1" applyProtection="1">
      <alignment horizontal="left" wrapText="1"/>
      <protection locked="0"/>
    </xf>
    <xf numFmtId="0" fontId="8" fillId="2" borderId="7" xfId="0" applyFont="1" applyFill="1" applyBorder="1" applyProtection="1">
      <protection locked="0"/>
    </xf>
    <xf numFmtId="0" fontId="12" fillId="2" borderId="0" xfId="0" applyFont="1" applyFill="1" applyBorder="1" applyAlignment="1" applyProtection="1">
      <alignment horizontal="center" vertical="center" wrapText="1"/>
      <protection locked="0"/>
    </xf>
    <xf numFmtId="0" fontId="9" fillId="2" borderId="0" xfId="0" applyFont="1" applyFill="1" applyProtection="1">
      <protection locked="0"/>
    </xf>
    <xf numFmtId="0" fontId="2" fillId="2" borderId="0" xfId="0" applyFont="1" applyFill="1" applyAlignment="1" applyProtection="1">
      <alignment horizontal="right" wrapText="1"/>
      <protection locked="0"/>
    </xf>
    <xf numFmtId="0" fontId="2" fillId="2" borderId="0" xfId="0" applyFont="1" applyFill="1" applyAlignment="1" applyProtection="1">
      <alignment horizontal="center" wrapText="1"/>
      <protection locked="0"/>
    </xf>
    <xf numFmtId="0" fontId="8" fillId="2" borderId="30" xfId="0" applyFont="1" applyFill="1" applyBorder="1" applyProtection="1">
      <protection locked="0"/>
    </xf>
    <xf numFmtId="0" fontId="8" fillId="2" borderId="34" xfId="0" applyFont="1" applyFill="1" applyBorder="1" applyProtection="1">
      <protection locked="0"/>
    </xf>
    <xf numFmtId="0" fontId="8" fillId="2" borderId="35" xfId="0" applyFont="1" applyFill="1" applyBorder="1" applyProtection="1">
      <protection locked="0"/>
    </xf>
    <xf numFmtId="0" fontId="8" fillId="2" borderId="29" xfId="0" applyFont="1" applyFill="1" applyBorder="1" applyProtection="1">
      <protection locked="0"/>
    </xf>
    <xf numFmtId="0" fontId="8" fillId="2" borderId="12" xfId="0" applyFont="1" applyFill="1" applyBorder="1" applyProtection="1">
      <protection locked="0"/>
    </xf>
    <xf numFmtId="169" fontId="8" fillId="7" borderId="1" xfId="1" applyNumberFormat="1" applyFont="1" applyFill="1" applyBorder="1" applyProtection="1"/>
    <xf numFmtId="169" fontId="8" fillId="7" borderId="21" xfId="1" applyNumberFormat="1" applyFont="1" applyFill="1" applyBorder="1" applyProtection="1"/>
    <xf numFmtId="169" fontId="8" fillId="7" borderId="10" xfId="1" applyNumberFormat="1" applyFont="1" applyFill="1" applyBorder="1" applyProtection="1"/>
    <xf numFmtId="9" fontId="2" fillId="6" borderId="34" xfId="0" applyNumberFormat="1" applyFont="1" applyFill="1" applyBorder="1" applyAlignment="1">
      <alignment horizontal="center"/>
    </xf>
    <xf numFmtId="0" fontId="1" fillId="6" borderId="9" xfId="0" applyNumberFormat="1" applyFont="1" applyFill="1" applyBorder="1" applyAlignment="1" applyProtection="1">
      <alignment horizontal="center"/>
    </xf>
    <xf numFmtId="0" fontId="1" fillId="6" borderId="1" xfId="0" applyNumberFormat="1" applyFont="1" applyFill="1" applyBorder="1" applyAlignment="1" applyProtection="1">
      <alignment horizontal="center"/>
    </xf>
    <xf numFmtId="165" fontId="1" fillId="6" borderId="1" xfId="1" applyNumberFormat="1" applyFont="1" applyFill="1" applyBorder="1" applyAlignment="1" applyProtection="1">
      <alignment horizontal="right"/>
    </xf>
    <xf numFmtId="0" fontId="1" fillId="6" borderId="6" xfId="0" applyNumberFormat="1" applyFont="1" applyFill="1" applyBorder="1" applyAlignment="1" applyProtection="1">
      <alignment horizontal="center"/>
    </xf>
    <xf numFmtId="0" fontId="1" fillId="6" borderId="21" xfId="0" applyNumberFormat="1" applyFont="1" applyFill="1" applyBorder="1" applyAlignment="1" applyProtection="1">
      <alignment horizontal="center"/>
    </xf>
    <xf numFmtId="165" fontId="1" fillId="6" borderId="21" xfId="1" applyNumberFormat="1" applyFont="1" applyFill="1" applyBorder="1" applyAlignment="1" applyProtection="1">
      <alignment horizontal="right"/>
    </xf>
    <xf numFmtId="0" fontId="1" fillId="6" borderId="10" xfId="0" applyNumberFormat="1" applyFont="1" applyFill="1" applyBorder="1" applyAlignment="1" applyProtection="1">
      <alignment horizontal="center"/>
    </xf>
    <xf numFmtId="0" fontId="1" fillId="6" borderId="2" xfId="0" applyNumberFormat="1" applyFont="1" applyFill="1" applyBorder="1" applyAlignment="1" applyProtection="1">
      <alignment horizontal="center"/>
    </xf>
    <xf numFmtId="165" fontId="1" fillId="6" borderId="2" xfId="1" applyNumberFormat="1" applyFont="1" applyFill="1" applyBorder="1" applyAlignment="1" applyProtection="1">
      <alignment horizontal="center"/>
    </xf>
    <xf numFmtId="0" fontId="2" fillId="6" borderId="0" xfId="0" applyFont="1" applyFill="1" applyBorder="1" applyAlignment="1" applyProtection="1">
      <alignment horizontal="center"/>
    </xf>
    <xf numFmtId="165" fontId="2" fillId="6" borderId="0" xfId="1" applyNumberFormat="1" applyFont="1" applyFill="1" applyBorder="1" applyAlignment="1" applyProtection="1">
      <alignment horizontal="right"/>
    </xf>
    <xf numFmtId="165" fontId="8" fillId="6" borderId="1" xfId="1" applyNumberFormat="1" applyFont="1" applyFill="1" applyBorder="1" applyAlignment="1" applyProtection="1"/>
    <xf numFmtId="165" fontId="8" fillId="6" borderId="21" xfId="1" applyNumberFormat="1" applyFont="1" applyFill="1" applyBorder="1" applyAlignment="1" applyProtection="1"/>
    <xf numFmtId="165" fontId="8" fillId="6" borderId="2" xfId="1" applyNumberFormat="1" applyFont="1" applyFill="1" applyBorder="1" applyAlignment="1" applyProtection="1"/>
    <xf numFmtId="169" fontId="2" fillId="6" borderId="0" xfId="0" applyNumberFormat="1" applyFont="1" applyFill="1" applyBorder="1" applyAlignment="1" applyProtection="1">
      <alignment horizontal="right"/>
    </xf>
    <xf numFmtId="0" fontId="2" fillId="6" borderId="0" xfId="0" applyFont="1" applyFill="1" applyBorder="1" applyAlignment="1" applyProtection="1">
      <alignment horizontal="right"/>
    </xf>
    <xf numFmtId="0" fontId="1" fillId="6" borderId="9"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1" xfId="0" applyFont="1" applyFill="1" applyBorder="1" applyAlignment="1" applyProtection="1">
      <alignment horizontal="right"/>
    </xf>
    <xf numFmtId="0" fontId="1" fillId="6" borderId="6" xfId="0" applyFont="1" applyFill="1" applyBorder="1" applyAlignment="1" applyProtection="1">
      <alignment horizontal="center"/>
    </xf>
    <xf numFmtId="0" fontId="1" fillId="6" borderId="21" xfId="0" applyFont="1" applyFill="1" applyBorder="1" applyAlignment="1" applyProtection="1">
      <alignment horizontal="center"/>
    </xf>
    <xf numFmtId="0" fontId="1" fillId="6" borderId="21" xfId="0" applyFont="1" applyFill="1" applyBorder="1" applyAlignment="1" applyProtection="1">
      <alignment horizontal="right"/>
    </xf>
    <xf numFmtId="0" fontId="1" fillId="6" borderId="10"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2" xfId="0" applyFont="1" applyFill="1" applyBorder="1" applyAlignment="1" applyProtection="1">
      <alignment horizontal="right"/>
    </xf>
    <xf numFmtId="165" fontId="1" fillId="6" borderId="2" xfId="1" applyNumberFormat="1" applyFont="1" applyFill="1" applyBorder="1" applyAlignment="1" applyProtection="1">
      <alignment horizontal="right"/>
    </xf>
    <xf numFmtId="0" fontId="8" fillId="6" borderId="0" xfId="0" applyFont="1" applyFill="1" applyProtection="1"/>
    <xf numFmtId="0" fontId="8" fillId="6" borderId="0" xfId="0" applyFont="1" applyFill="1" applyAlignment="1" applyProtection="1">
      <alignment horizontal="center"/>
    </xf>
    <xf numFmtId="1" fontId="1" fillId="6" borderId="16" xfId="0" applyNumberFormat="1" applyFont="1" applyFill="1" applyBorder="1" applyAlignment="1" applyProtection="1">
      <alignment horizontal="right"/>
    </xf>
    <xf numFmtId="1" fontId="1" fillId="6" borderId="22" xfId="0" applyNumberFormat="1" applyFont="1" applyFill="1" applyBorder="1" applyAlignment="1" applyProtection="1">
      <alignment horizontal="right"/>
    </xf>
    <xf numFmtId="1" fontId="1" fillId="6" borderId="17" xfId="0" applyNumberFormat="1" applyFont="1" applyFill="1" applyBorder="1" applyAlignment="1" applyProtection="1">
      <alignment horizontal="right"/>
    </xf>
    <xf numFmtId="0" fontId="1" fillId="7" borderId="48" xfId="0" applyFont="1" applyFill="1" applyBorder="1" applyAlignment="1" applyProtection="1">
      <alignment horizontal="left"/>
      <protection locked="0"/>
    </xf>
    <xf numFmtId="0" fontId="1" fillId="7" borderId="49" xfId="0" applyFont="1" applyFill="1" applyBorder="1" applyAlignment="1" applyProtection="1">
      <alignment horizontal="left"/>
      <protection locked="0"/>
    </xf>
    <xf numFmtId="0" fontId="1" fillId="7" borderId="49" xfId="0" applyFont="1" applyFill="1" applyBorder="1" applyAlignment="1" applyProtection="1">
      <alignment horizontal="left" wrapText="1"/>
      <protection locked="0"/>
    </xf>
    <xf numFmtId="0" fontId="2" fillId="7" borderId="49" xfId="0" applyFont="1" applyFill="1" applyBorder="1" applyAlignment="1" applyProtection="1">
      <alignment horizontal="left"/>
      <protection locked="0"/>
    </xf>
    <xf numFmtId="0" fontId="9" fillId="7" borderId="49" xfId="0" applyFont="1" applyFill="1" applyBorder="1" applyAlignment="1" applyProtection="1">
      <alignment horizontal="left"/>
      <protection locked="0"/>
    </xf>
    <xf numFmtId="0" fontId="9" fillId="7" borderId="50" xfId="0" applyFont="1" applyFill="1" applyBorder="1" applyAlignment="1" applyProtection="1">
      <alignment horizontal="left"/>
      <protection locked="0"/>
    </xf>
    <xf numFmtId="3" fontId="8" fillId="6" borderId="34" xfId="0" applyNumberFormat="1" applyFont="1" applyFill="1" applyBorder="1" applyAlignment="1">
      <alignment horizontal="center"/>
    </xf>
    <xf numFmtId="0" fontId="8" fillId="7" borderId="48" xfId="1" applyNumberFormat="1" applyFont="1" applyFill="1" applyBorder="1" applyProtection="1">
      <protection locked="0"/>
    </xf>
    <xf numFmtId="0" fontId="2" fillId="9" borderId="54" xfId="0" applyFont="1" applyFill="1" applyBorder="1" applyAlignment="1">
      <alignment horizontal="right"/>
    </xf>
    <xf numFmtId="0" fontId="1" fillId="9" borderId="54" xfId="0" applyFont="1" applyFill="1" applyBorder="1" applyAlignment="1">
      <alignment horizontal="right"/>
    </xf>
    <xf numFmtId="0" fontId="1" fillId="9" borderId="54" xfId="0" applyFont="1" applyFill="1" applyBorder="1" applyAlignment="1">
      <alignment horizontal="right" wrapText="1"/>
    </xf>
    <xf numFmtId="0" fontId="8" fillId="9" borderId="54" xfId="0" applyFont="1" applyFill="1" applyBorder="1" applyAlignment="1">
      <alignment horizontal="right"/>
    </xf>
    <xf numFmtId="0" fontId="9" fillId="9" borderId="54" xfId="0" applyFont="1" applyFill="1" applyBorder="1" applyAlignment="1">
      <alignment horizontal="right"/>
    </xf>
    <xf numFmtId="0" fontId="8" fillId="7" borderId="49" xfId="1" applyNumberFormat="1" applyFont="1" applyFill="1" applyBorder="1" applyProtection="1">
      <protection locked="0"/>
    </xf>
    <xf numFmtId="0" fontId="8" fillId="7" borderId="49" xfId="0" applyFont="1" applyFill="1" applyBorder="1" applyAlignment="1" applyProtection="1">
      <alignment horizontal="left"/>
      <protection locked="0"/>
    </xf>
    <xf numFmtId="0" fontId="1" fillId="6" borderId="6" xfId="0" applyFont="1" applyFill="1" applyBorder="1" applyAlignment="1" applyProtection="1">
      <alignment horizontal="right"/>
    </xf>
    <xf numFmtId="0" fontId="1" fillId="6" borderId="6" xfId="0" applyNumberFormat="1" applyFont="1" applyFill="1" applyBorder="1" applyAlignment="1" applyProtection="1">
      <alignment horizontal="right"/>
    </xf>
    <xf numFmtId="0" fontId="1" fillId="6" borderId="6" xfId="0" applyFont="1" applyFill="1" applyBorder="1" applyAlignment="1" applyProtection="1">
      <alignment horizontal="right" vertical="center"/>
    </xf>
    <xf numFmtId="3" fontId="8" fillId="6" borderId="12" xfId="0" applyNumberFormat="1" applyFont="1" applyFill="1" applyBorder="1" applyAlignment="1">
      <alignment horizontal="center"/>
    </xf>
    <xf numFmtId="169" fontId="8" fillId="7" borderId="11" xfId="0" applyNumberFormat="1" applyFont="1" applyFill="1" applyBorder="1" applyAlignment="1" applyProtection="1"/>
    <xf numFmtId="3" fontId="8" fillId="7" borderId="11" xfId="0" applyNumberFormat="1" applyFont="1" applyFill="1" applyBorder="1" applyAlignment="1" applyProtection="1">
      <alignment horizontal="center"/>
    </xf>
    <xf numFmtId="0" fontId="2" fillId="7" borderId="31" xfId="0" applyFont="1" applyFill="1" applyBorder="1" applyAlignment="1">
      <alignment horizontal="right"/>
    </xf>
    <xf numFmtId="0" fontId="1" fillId="7" borderId="11" xfId="0" applyFont="1" applyFill="1" applyBorder="1" applyAlignment="1">
      <alignment horizontal="right"/>
    </xf>
    <xf numFmtId="0" fontId="1" fillId="7" borderId="11" xfId="0" applyFont="1" applyFill="1" applyBorder="1" applyAlignment="1">
      <alignment horizontal="right" wrapText="1"/>
    </xf>
    <xf numFmtId="0" fontId="2" fillId="7" borderId="11" xfId="0" applyFont="1" applyFill="1" applyBorder="1" applyAlignment="1">
      <alignment horizontal="right"/>
    </xf>
    <xf numFmtId="0" fontId="8" fillId="7" borderId="11" xfId="0" applyFont="1" applyFill="1" applyBorder="1" applyAlignment="1">
      <alignment horizontal="right"/>
    </xf>
    <xf numFmtId="0" fontId="9" fillId="7" borderId="11" xfId="0" applyFont="1" applyFill="1" applyBorder="1" applyAlignment="1">
      <alignment horizontal="right"/>
    </xf>
    <xf numFmtId="0" fontId="9" fillId="7" borderId="11" xfId="0" applyFont="1" applyFill="1" applyBorder="1" applyAlignment="1" applyProtection="1">
      <alignment horizontal="right"/>
      <protection locked="0"/>
    </xf>
    <xf numFmtId="168" fontId="10" fillId="7" borderId="13" xfId="0" applyNumberFormat="1" applyFont="1" applyFill="1" applyBorder="1" applyAlignment="1" applyProtection="1">
      <alignment horizontal="center"/>
      <protection locked="0"/>
    </xf>
    <xf numFmtId="168" fontId="8" fillId="7" borderId="13" xfId="0" applyNumberFormat="1" applyFont="1" applyFill="1" applyBorder="1" applyAlignment="1" applyProtection="1">
      <alignment horizontal="center"/>
      <protection locked="0"/>
    </xf>
    <xf numFmtId="0" fontId="9" fillId="7" borderId="13" xfId="0"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7" fillId="7" borderId="14" xfId="3" applyFill="1" applyBorder="1" applyAlignment="1" applyProtection="1">
      <alignment horizontal="center"/>
      <protection locked="0"/>
    </xf>
    <xf numFmtId="0" fontId="8" fillId="7" borderId="14" xfId="0" applyFont="1" applyFill="1" applyBorder="1" applyAlignment="1" applyProtection="1">
      <alignment horizontal="center"/>
      <protection locked="0"/>
    </xf>
    <xf numFmtId="0" fontId="9" fillId="2" borderId="0" xfId="0" applyFont="1" applyFill="1" applyAlignment="1" applyProtection="1">
      <alignment horizontal="left" vertical="top" wrapText="1"/>
    </xf>
    <xf numFmtId="0" fontId="9" fillId="2" borderId="7" xfId="0" applyFont="1" applyFill="1" applyBorder="1" applyAlignment="1" applyProtection="1">
      <alignment horizontal="center"/>
    </xf>
    <xf numFmtId="0" fontId="8" fillId="2" borderId="0" xfId="0" applyFont="1" applyFill="1" applyAlignment="1" applyProtection="1">
      <alignment horizontal="left" vertical="top" wrapText="1"/>
      <protection locked="0"/>
    </xf>
    <xf numFmtId="0" fontId="22" fillId="7"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wrapText="1"/>
    </xf>
    <xf numFmtId="0" fontId="9" fillId="6" borderId="18" xfId="0" applyFont="1" applyFill="1" applyBorder="1" applyAlignment="1" applyProtection="1">
      <alignment horizontal="center"/>
    </xf>
    <xf numFmtId="0" fontId="9" fillId="2" borderId="29" xfId="0" applyFont="1" applyFill="1" applyBorder="1" applyAlignment="1" applyProtection="1">
      <alignment horizontal="center"/>
    </xf>
    <xf numFmtId="0" fontId="9" fillId="2" borderId="28" xfId="0" applyFont="1" applyFill="1" applyBorder="1" applyAlignment="1" applyProtection="1"/>
    <xf numFmtId="0" fontId="8" fillId="2" borderId="0" xfId="0" applyFont="1" applyFill="1" applyBorder="1" applyAlignment="1" applyProtection="1">
      <alignment horizontal="right" wrapText="1"/>
    </xf>
    <xf numFmtId="0" fontId="8" fillId="2" borderId="34" xfId="0" applyFont="1" applyFill="1" applyBorder="1" applyAlignment="1" applyProtection="1">
      <alignment horizontal="right" wrapText="1"/>
    </xf>
    <xf numFmtId="0" fontId="9" fillId="2" borderId="40" xfId="0" applyFont="1" applyFill="1" applyBorder="1" applyAlignment="1" applyProtection="1">
      <alignment horizontal="center"/>
    </xf>
    <xf numFmtId="0" fontId="9" fillId="2" borderId="41" xfId="0" applyFont="1" applyFill="1" applyBorder="1" applyAlignment="1" applyProtection="1">
      <alignment horizontal="center"/>
    </xf>
    <xf numFmtId="0" fontId="8" fillId="2" borderId="43" xfId="0" applyFont="1" applyFill="1" applyBorder="1" applyAlignment="1" applyProtection="1">
      <alignment horizontal="center"/>
    </xf>
    <xf numFmtId="0" fontId="9" fillId="7" borderId="19" xfId="0" applyFont="1" applyFill="1" applyBorder="1" applyAlignment="1" applyProtection="1">
      <alignment horizontal="center"/>
      <protection locked="0"/>
    </xf>
    <xf numFmtId="0" fontId="9" fillId="6" borderId="9" xfId="0" applyFont="1" applyFill="1" applyBorder="1" applyAlignment="1">
      <alignment horizontal="center"/>
    </xf>
    <xf numFmtId="0" fontId="8" fillId="6" borderId="1" xfId="0" applyFont="1" applyFill="1" applyBorder="1" applyAlignment="1"/>
    <xf numFmtId="0" fontId="8" fillId="6" borderId="16" xfId="0" applyFont="1" applyFill="1" applyBorder="1" applyAlignment="1"/>
    <xf numFmtId="0" fontId="9" fillId="2" borderId="10" xfId="0" applyFont="1" applyFill="1" applyBorder="1" applyAlignment="1">
      <alignment horizontal="center"/>
    </xf>
    <xf numFmtId="0" fontId="8" fillId="2" borderId="2" xfId="0" applyFont="1" applyFill="1" applyBorder="1" applyAlignment="1">
      <alignment horizontal="center"/>
    </xf>
    <xf numFmtId="0" fontId="8" fillId="2" borderId="17" xfId="0" applyFont="1" applyFill="1" applyBorder="1" applyAlignment="1">
      <alignment horizontal="center"/>
    </xf>
    <xf numFmtId="0" fontId="28" fillId="2" borderId="0" xfId="0" applyFont="1" applyFill="1" applyBorder="1" applyAlignment="1">
      <alignment horizontal="left"/>
    </xf>
    <xf numFmtId="0" fontId="2" fillId="2" borderId="0" xfId="0" applyFont="1" applyFill="1" applyAlignment="1">
      <alignment horizontal="center" wrapText="1"/>
    </xf>
    <xf numFmtId="0" fontId="2" fillId="2" borderId="29" xfId="0" applyFont="1" applyFill="1" applyBorder="1" applyAlignment="1">
      <alignment horizontal="center" wrapText="1"/>
    </xf>
    <xf numFmtId="0" fontId="12" fillId="2" borderId="0" xfId="0" applyFont="1" applyFill="1" applyBorder="1" applyAlignment="1">
      <alignment horizontal="center" wrapText="1"/>
    </xf>
    <xf numFmtId="0" fontId="12" fillId="2" borderId="29" xfId="0" applyFont="1" applyFill="1" applyBorder="1" applyAlignment="1">
      <alignment horizontal="center" wrapText="1"/>
    </xf>
    <xf numFmtId="165" fontId="8" fillId="7" borderId="22" xfId="1" applyNumberFormat="1" applyFont="1" applyFill="1" applyBorder="1" applyAlignment="1" applyProtection="1">
      <alignment horizontal="center"/>
      <protection locked="0"/>
    </xf>
    <xf numFmtId="165" fontId="8" fillId="7" borderId="13" xfId="1" applyNumberFormat="1" applyFont="1" applyFill="1" applyBorder="1" applyAlignment="1" applyProtection="1">
      <alignment horizontal="center"/>
      <protection locked="0"/>
    </xf>
    <xf numFmtId="165" fontId="8" fillId="7" borderId="6" xfId="1" applyNumberFormat="1" applyFont="1" applyFill="1" applyBorder="1" applyAlignment="1" applyProtection="1">
      <alignment horizontal="center"/>
      <protection locked="0"/>
    </xf>
    <xf numFmtId="0" fontId="12" fillId="2" borderId="18" xfId="0" applyFont="1" applyFill="1" applyBorder="1" applyAlignment="1">
      <alignment horizontal="center"/>
    </xf>
    <xf numFmtId="0" fontId="9" fillId="0" borderId="32" xfId="0" applyFont="1" applyBorder="1" applyAlignment="1">
      <alignment horizontal="center" wrapText="1"/>
    </xf>
    <xf numFmtId="0" fontId="9" fillId="0" borderId="7" xfId="0" applyFont="1" applyBorder="1" applyAlignment="1">
      <alignment horizontal="center" wrapText="1"/>
    </xf>
    <xf numFmtId="0" fontId="9" fillId="0" borderId="33" xfId="0" applyFont="1" applyBorder="1" applyAlignment="1">
      <alignment horizontal="center" wrapText="1"/>
    </xf>
    <xf numFmtId="0" fontId="9" fillId="2" borderId="32" xfId="0" applyFont="1" applyFill="1" applyBorder="1" applyAlignment="1">
      <alignment horizontal="center"/>
    </xf>
    <xf numFmtId="0" fontId="9" fillId="2" borderId="7" xfId="0" applyFont="1" applyFill="1" applyBorder="1" applyAlignment="1">
      <alignment horizontal="center"/>
    </xf>
    <xf numFmtId="0" fontId="9" fillId="2" borderId="33" xfId="0" applyFont="1" applyFill="1" applyBorder="1" applyAlignment="1">
      <alignment horizontal="center"/>
    </xf>
    <xf numFmtId="165" fontId="8" fillId="7" borderId="17" xfId="1" applyNumberFormat="1" applyFont="1" applyFill="1" applyBorder="1" applyAlignment="1" applyProtection="1">
      <alignment horizontal="center"/>
      <protection locked="0"/>
    </xf>
    <xf numFmtId="165" fontId="8" fillId="7" borderId="14" xfId="1" applyNumberFormat="1" applyFont="1" applyFill="1" applyBorder="1" applyAlignment="1" applyProtection="1">
      <alignment horizontal="center"/>
      <protection locked="0"/>
    </xf>
    <xf numFmtId="165" fontId="8" fillId="7" borderId="10" xfId="1" applyNumberFormat="1" applyFont="1" applyFill="1" applyBorder="1" applyAlignment="1" applyProtection="1">
      <alignment horizontal="center"/>
      <protection locked="0"/>
    </xf>
    <xf numFmtId="0" fontId="12" fillId="2" borderId="0" xfId="0" applyFont="1" applyFill="1" applyBorder="1" applyAlignment="1">
      <alignment horizontal="center"/>
    </xf>
    <xf numFmtId="165" fontId="8" fillId="7" borderId="16" xfId="1" applyNumberFormat="1" applyFont="1" applyFill="1" applyBorder="1" applyAlignment="1" applyProtection="1">
      <alignment horizontal="center"/>
      <protection locked="0"/>
    </xf>
    <xf numFmtId="165" fontId="8" fillId="7" borderId="19" xfId="1" applyNumberFormat="1" applyFont="1" applyFill="1" applyBorder="1" applyAlignment="1" applyProtection="1">
      <alignment horizontal="center"/>
      <protection locked="0"/>
    </xf>
    <xf numFmtId="165" fontId="8" fillId="7" borderId="9" xfId="1" applyNumberFormat="1" applyFont="1" applyFill="1" applyBorder="1" applyAlignment="1" applyProtection="1">
      <alignment horizontal="center"/>
      <protection locked="0"/>
    </xf>
    <xf numFmtId="0" fontId="1" fillId="2" borderId="0" xfId="0" applyFont="1" applyFill="1" applyBorder="1" applyAlignment="1">
      <alignment horizontal="right" wrapText="1"/>
    </xf>
    <xf numFmtId="0" fontId="22" fillId="7"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9" fillId="2" borderId="32" xfId="0" applyFont="1" applyFill="1" applyBorder="1" applyAlignment="1" applyProtection="1">
      <alignment horizontal="center" wrapText="1"/>
      <protection locked="0"/>
    </xf>
    <xf numFmtId="0" fontId="9" fillId="2" borderId="7" xfId="0" applyFont="1" applyFill="1" applyBorder="1" applyAlignment="1" applyProtection="1">
      <alignment horizontal="center" wrapText="1"/>
      <protection locked="0"/>
    </xf>
    <xf numFmtId="0" fontId="9" fillId="2" borderId="33" xfId="0" applyFont="1" applyFill="1" applyBorder="1" applyAlignment="1" applyProtection="1">
      <alignment horizontal="center" wrapText="1"/>
      <protection locked="0"/>
    </xf>
    <xf numFmtId="0" fontId="22" fillId="7" borderId="0" xfId="0" applyFont="1" applyFill="1" applyBorder="1" applyAlignment="1" applyProtection="1">
      <alignment horizontal="center" vertical="center" wrapText="1"/>
      <protection locked="0"/>
    </xf>
    <xf numFmtId="0" fontId="22" fillId="8" borderId="0" xfId="0" applyFont="1" applyFill="1" applyBorder="1" applyAlignment="1" applyProtection="1">
      <alignment horizontal="center" vertical="center" wrapText="1"/>
      <protection locked="0"/>
    </xf>
    <xf numFmtId="0" fontId="9" fillId="6" borderId="9" xfId="0" applyFont="1" applyFill="1" applyBorder="1" applyAlignment="1" applyProtection="1">
      <alignment horizontal="center"/>
    </xf>
    <xf numFmtId="0" fontId="8" fillId="6" borderId="1" xfId="0" applyFont="1" applyFill="1" applyBorder="1" applyAlignment="1" applyProtection="1"/>
    <xf numFmtId="0" fontId="8" fillId="6" borderId="16" xfId="0" applyFont="1" applyFill="1" applyBorder="1" applyAlignment="1" applyProtection="1"/>
    <xf numFmtId="0" fontId="9" fillId="6" borderId="10" xfId="0" applyFont="1" applyFill="1" applyBorder="1" applyAlignment="1" applyProtection="1">
      <alignment horizontal="center"/>
    </xf>
    <xf numFmtId="0" fontId="8" fillId="6" borderId="2" xfId="0" applyFont="1" applyFill="1" applyBorder="1" applyAlignment="1" applyProtection="1">
      <alignment horizontal="center"/>
    </xf>
    <xf numFmtId="0" fontId="8" fillId="6" borderId="17" xfId="0" applyFont="1" applyFill="1" applyBorder="1" applyAlignment="1" applyProtection="1">
      <alignment horizontal="center"/>
    </xf>
    <xf numFmtId="0" fontId="12" fillId="2" borderId="29" xfId="0" applyFont="1" applyFill="1" applyBorder="1" applyAlignment="1" applyProtection="1">
      <alignment horizontal="center"/>
      <protection locked="0"/>
    </xf>
  </cellXfs>
  <cellStyles count="7">
    <cellStyle name="Comma" xfId="1" builtinId="3"/>
    <cellStyle name="Comma 2 2" xfId="6"/>
    <cellStyle name="Currency" xfId="2" builtinId="4"/>
    <cellStyle name="Hyperlink" xfId="3" builtinId="8"/>
    <cellStyle name="Normal" xfId="0" builtinId="0"/>
    <cellStyle name="Normal 2 2 2" xfId="5"/>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4</xdr:col>
      <xdr:colOff>571500</xdr:colOff>
      <xdr:row>69</xdr:row>
      <xdr:rowOff>95250</xdr:rowOff>
    </xdr:to>
    <xdr:sp macro="" textlink="">
      <xdr:nvSpPr>
        <xdr:cNvPr id="2" name="TextBox 1"/>
        <xdr:cNvSpPr txBox="1"/>
      </xdr:nvSpPr>
      <xdr:spPr>
        <a:xfrm>
          <a:off x="19050" y="2162175"/>
          <a:ext cx="11391900" cy="1112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a:effectLst/>
            </a:rPr>
            <a:t>     Each utility must submit a renewable resource energy report to the department by June 1st of each year using a form provided by the department. The report must reflect the actions that the utility took by the previous January 1st to meet the renewable requirements of chapter </a:t>
          </a:r>
          <a:r>
            <a:rPr lang="en-US">
              <a:effectLst/>
              <a:hlinkClick xmlns:r="http://schemas.openxmlformats.org/officeDocument/2006/relationships" r:id=""/>
            </a:rPr>
            <a:t>19.285</a:t>
          </a:r>
          <a:r>
            <a:rPr lang="en-US">
              <a:effectLst/>
            </a:rPr>
            <a:t> RCW for that year. For example, a utility must report by June 1, 2015, the actions it took by January 1, 2015, to meet requirements applicable to the 2015 target year.</a:t>
          </a:r>
        </a:p>
        <a:p>
          <a:r>
            <a:rPr lang="en-US" baseline="0">
              <a:effectLst/>
            </a:rPr>
            <a:t>     </a:t>
          </a:r>
          <a:r>
            <a:rPr lang="en-US">
              <a:effectLst/>
            </a:rPr>
            <a:t>(1) </a:t>
          </a:r>
          <a:r>
            <a:rPr lang="en-US" b="1">
              <a:effectLst/>
            </a:rPr>
            <a:t>Reporting requirements applicable to all utilities.</a:t>
          </a:r>
          <a:r>
            <a:rPr lang="en-US">
              <a:effectLst/>
            </a:rPr>
            <a:t> Each utility must report the following information:</a:t>
          </a:r>
        </a:p>
        <a:p>
          <a:r>
            <a:rPr lang="en-US">
              <a:effectLst/>
            </a:rPr>
            <a:t>     (a) The compliance method:</a:t>
          </a:r>
        </a:p>
        <a:p>
          <a:r>
            <a:rPr lang="en-US">
              <a:effectLst/>
            </a:rPr>
            <a:t>          (i) Renewable energy target using renewable resources and RECs – RCW </a:t>
          </a:r>
          <a:r>
            <a:rPr lang="en-US">
              <a:effectLst/>
              <a:hlinkClick xmlns:r="http://schemas.openxmlformats.org/officeDocument/2006/relationships" r:id=""/>
            </a:rPr>
            <a:t>19.285.040</a:t>
          </a:r>
          <a:r>
            <a:rPr lang="en-US">
              <a:effectLst/>
            </a:rPr>
            <a:t> (2)(a);</a:t>
          </a:r>
        </a:p>
        <a:p>
          <a:r>
            <a:rPr lang="en-US">
              <a:effectLst/>
            </a:rPr>
            <a:t>          (ii) Incremental cost – RCW </a:t>
          </a:r>
          <a:r>
            <a:rPr lang="en-US">
              <a:effectLst/>
              <a:hlinkClick xmlns:r="http://schemas.openxmlformats.org/officeDocument/2006/relationships" r:id=""/>
            </a:rPr>
            <a:t>19.285.050</a:t>
          </a:r>
          <a:r>
            <a:rPr lang="en-US">
              <a:effectLst/>
            </a:rPr>
            <a:t>; or</a:t>
          </a:r>
        </a:p>
        <a:p>
          <a:r>
            <a:rPr lang="en-US">
              <a:effectLst/>
            </a:rPr>
            <a:t>          (iii) No-growth cost – RCW </a:t>
          </a:r>
          <a:r>
            <a:rPr lang="en-US">
              <a:effectLst/>
              <a:hlinkClick xmlns:r="http://schemas.openxmlformats.org/officeDocument/2006/relationships" r:id=""/>
            </a:rPr>
            <a:t>19.285.040</a:t>
          </a:r>
          <a:r>
            <a:rPr lang="en-US">
              <a:effectLst/>
            </a:rPr>
            <a:t> (2)(d).</a:t>
          </a:r>
        </a:p>
        <a:p>
          <a:r>
            <a:rPr lang="en-US">
              <a:effectLst/>
            </a:rPr>
            <a:t>     (b) The utility's load for the two years preceding the target year and the average load for those two years.</a:t>
          </a:r>
        </a:p>
        <a:p>
          <a:r>
            <a:rPr lang="en-US">
              <a:effectLst/>
            </a:rPr>
            <a:t>     (c) The utility's renewable energy target for the target year.</a:t>
          </a:r>
        </a:p>
        <a:p>
          <a:r>
            <a:rPr lang="en-US">
              <a:effectLst/>
            </a:rPr>
            <a:t>     (d) The amount of eligible renewable resources, RECs, and multiplier credits to be applied toward the utility's renewable energy target for the target year. The report must identify, by generating facility or hydroelectric project, including the WREGIS generating unit identification where applicable, and, in the case of RECs, by vintage year:</a:t>
          </a:r>
        </a:p>
        <a:p>
          <a:r>
            <a:rPr lang="en-US">
              <a:effectLst/>
            </a:rPr>
            <a:t>          (i) The eligible renewable resources in megawatt-hours to be applied toward the renewable energy target for the target year;</a:t>
          </a:r>
        </a:p>
        <a:p>
          <a:r>
            <a:rPr lang="en-US">
              <a:effectLst/>
            </a:rPr>
            <a:t>         (ii) The RECs to be applied toward the renewable energy target for the target year;</a:t>
          </a:r>
        </a:p>
        <a:p>
          <a:r>
            <a:rPr lang="en-US">
              <a:effectLst/>
            </a:rPr>
            <a:t>         (iii) Any additional credit for eligible renewable resources or RECs from generating facilities eligible for the apprentice labor provision in RCW </a:t>
          </a:r>
          <a:r>
            <a:rPr lang="en-US">
              <a:effectLst/>
              <a:hlinkClick xmlns:r="http://schemas.openxmlformats.org/officeDocument/2006/relationships" r:id=""/>
            </a:rPr>
            <a:t>19.285.040</a:t>
          </a:r>
          <a:r>
            <a:rPr lang="en-US">
              <a:effectLst/>
            </a:rPr>
            <a:t> (2)(h), applied toward the renewable energy target for the target year;</a:t>
          </a:r>
        </a:p>
        <a:p>
          <a:r>
            <a:rPr lang="en-US">
              <a:effectLst/>
            </a:rPr>
            <a:t>          (iv) Any additional credit for RECs from generating facilities eligible for the distributed generation in RCW </a:t>
          </a:r>
          <a:r>
            <a:rPr lang="en-US">
              <a:effectLst/>
              <a:hlinkClick xmlns:r="http://schemas.openxmlformats.org/officeDocument/2006/relationships" r:id=""/>
            </a:rPr>
            <a:t>19.285.040</a:t>
          </a:r>
          <a:r>
            <a:rPr lang="en-US">
              <a:effectLst/>
            </a:rPr>
            <a:t> (2)(b), applied toward the renewable energy target for the target year.</a:t>
          </a:r>
        </a:p>
        <a:p>
          <a:r>
            <a:rPr lang="en-US">
              <a:effectLst/>
            </a:rPr>
            <a:t>     (e) The percent of its total annual retail revenue requirement invested in the incremental cost of eligible renewable resources and the cost of renewable energy credits. Each utility must include in its report documentation of the calculations and inputs to this amount.</a:t>
          </a:r>
        </a:p>
        <a:p>
          <a:r>
            <a:rPr lang="en-US">
              <a:effectLst/>
            </a:rPr>
            <a:t>     (2) </a:t>
          </a:r>
          <a:r>
            <a:rPr lang="en-US" b="1">
              <a:effectLst/>
            </a:rPr>
            <a:t>Incremental cost compliance method report.</a:t>
          </a:r>
          <a:r>
            <a:rPr lang="en-US">
              <a:effectLst/>
            </a:rPr>
            <a:t> Each utility reporting pursuant to subsection (1)(a) of this section its use of the incremental cost compliance method for the target year must include the following information in its report:</a:t>
          </a:r>
        </a:p>
        <a:p>
          <a:r>
            <a:rPr lang="en-US">
              <a:effectLst/>
            </a:rPr>
            <a:t>     (a) Annual revenue requirement for the target year;</a:t>
          </a:r>
        </a:p>
        <a:p>
          <a:r>
            <a:rPr lang="en-US">
              <a:effectLst/>
            </a:rPr>
            <a:t>     (b) The annual levelized delivered cost of its eligible renewable resource(s) reported separately for each resource;</a:t>
          </a:r>
        </a:p>
        <a:p>
          <a:r>
            <a:rPr lang="en-US">
              <a:effectLst/>
            </a:rPr>
            <a:t>     (c) The annual levelized delivered cost of its substitute resources and the eligible renewable resource with which it is being compared;</a:t>
          </a:r>
        </a:p>
        <a:p>
          <a:r>
            <a:rPr lang="en-US">
              <a:effectLst/>
            </a:rPr>
            <a:t>     (d) The total cost of renewable energy credits to be applied in the reporting year;</a:t>
          </a:r>
        </a:p>
        <a:p>
          <a:r>
            <a:rPr lang="en-US">
              <a:effectLst/>
            </a:rPr>
            <a:t>     (e) The percentage of its annual revenue requirement invested in the incremental cost of eligible renewable resources and the cost of RECs; and</a:t>
          </a:r>
        </a:p>
        <a:p>
          <a:r>
            <a:rPr lang="en-US">
              <a:effectLst/>
            </a:rPr>
            <a:t>     (f) The most current information required by WAC </a:t>
          </a:r>
          <a:r>
            <a:rPr lang="en-US">
              <a:effectLst/>
              <a:hlinkClick xmlns:r="http://schemas.openxmlformats.org/officeDocument/2006/relationships" r:id=""/>
            </a:rPr>
            <a:t>194-37-160</a:t>
          </a:r>
          <a:r>
            <a:rPr lang="en-US">
              <a:effectLst/>
            </a:rPr>
            <a:t> used for this financial demonstration.</a:t>
          </a:r>
        </a:p>
        <a:p>
          <a:r>
            <a:rPr lang="en-US">
              <a:effectLst/>
            </a:rPr>
            <a:t>     (3) </a:t>
          </a:r>
          <a:r>
            <a:rPr lang="en-US" b="1">
              <a:effectLst/>
            </a:rPr>
            <a:t>No-growth cost compliance method report.</a:t>
          </a:r>
          <a:r>
            <a:rPr lang="en-US">
              <a:effectLst/>
            </a:rPr>
            <a:t> Each utility reporting pursuant to subsection (1)(a) of this section its use of the no-growth cost compliance method for the target year must include the following information in its report:</a:t>
          </a:r>
        </a:p>
        <a:p>
          <a:r>
            <a:rPr lang="en-US">
              <a:effectLst/>
            </a:rPr>
            <a:t>     (a) Annual revenue requirement for the target year;</a:t>
          </a:r>
        </a:p>
        <a:p>
          <a:r>
            <a:rPr lang="en-US">
              <a:effectLst/>
            </a:rPr>
            <a:t>     (b) Actual and weather-adjusted load for each year used in determining that the utility's load did not increase;</a:t>
          </a:r>
        </a:p>
        <a:p>
          <a:r>
            <a:rPr lang="en-US">
              <a:effectLst/>
            </a:rPr>
            <a:t>     (c) Delivered cost of its eligible renewable resource(s), RECs or a combination of both for the target year to be applied to the one percent of annual revenue requirement, reported separately for each resource;</a:t>
          </a:r>
        </a:p>
        <a:p>
          <a:r>
            <a:rPr lang="en-US">
              <a:effectLst/>
            </a:rPr>
            <a:t>     (d) Generating facility identification, vintage, quantity and cost of any RECs to be retired as an offset for nonrenewable resource purchases pursuant to RCW </a:t>
          </a:r>
          <a:r>
            <a:rPr lang="en-US">
              <a:effectLst/>
              <a:hlinkClick xmlns:r="http://schemas.openxmlformats.org/officeDocument/2006/relationships" r:id=""/>
            </a:rPr>
            <a:t>19.285.040</a:t>
          </a:r>
          <a:r>
            <a:rPr lang="en-US">
              <a:effectLst/>
            </a:rPr>
            <a:t> (2)(d).</a:t>
          </a:r>
        </a:p>
        <a:p>
          <a:r>
            <a:rPr lang="en-US">
              <a:effectLst/>
            </a:rPr>
            <a:t>     (4) </a:t>
          </a:r>
          <a:r>
            <a:rPr lang="en-US" b="1">
              <a:effectLst/>
            </a:rPr>
            <a:t>Final compliance report.</a:t>
          </a:r>
          <a:r>
            <a:rPr lang="en-US">
              <a:effectLst/>
            </a:rPr>
            <a:t>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For any target year that a utility demonstrates to the auditor that it did not meet the annual renewable resource requirements in chapter </a:t>
          </a:r>
          <a:r>
            <a:rPr lang="en-US">
              <a:effectLst/>
              <a:hlinkClick xmlns:r="http://schemas.openxmlformats.org/officeDocument/2006/relationships" r:id=""/>
            </a:rPr>
            <a:t>19.285</a:t>
          </a:r>
          <a:r>
            <a:rPr lang="en-US">
              <a:effectLst/>
            </a:rPr>
            <a:t> RCW due to events beyond the reasonable control of the utility per RCW </a:t>
          </a:r>
          <a:r>
            <a:rPr lang="en-US">
              <a:effectLst/>
              <a:hlinkClick xmlns:r="http://schemas.openxmlformats.org/officeDocument/2006/relationships" r:id=""/>
            </a:rPr>
            <a:t>19.285.040</a:t>
          </a:r>
          <a:r>
            <a:rPr lang="en-US">
              <a:effectLst/>
            </a:rPr>
            <a:t> (2)(i), the utility must summarize these events in the final compliance report.</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17</xdr:row>
      <xdr:rowOff>361950</xdr:rowOff>
    </xdr:from>
    <xdr:to>
      <xdr:col>8</xdr:col>
      <xdr:colOff>552450</xdr:colOff>
      <xdr:row>24</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35</xdr:row>
      <xdr:rowOff>352425</xdr:rowOff>
    </xdr:from>
    <xdr:to>
      <xdr:col>8</xdr:col>
      <xdr:colOff>695325</xdr:colOff>
      <xdr:row>36</xdr:row>
      <xdr:rowOff>3409950</xdr:rowOff>
    </xdr:to>
    <xdr:sp macro="" textlink="">
      <xdr:nvSpPr>
        <xdr:cNvPr id="2" name="TextBox 1"/>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Tacoma Power developed  its 2014-2015 conservation targets using the utility analysis option as authorized in WAC 194-37-070(6)(a).  In 2013, Tacoma Power contracted with the </a:t>
          </a:r>
          <a:r>
            <a:rPr lang="en-US" sz="1100" baseline="0">
              <a:solidFill>
                <a:schemeClr val="dk1"/>
              </a:solidFill>
              <a:effectLst/>
              <a:latin typeface="+mn-lt"/>
              <a:ea typeface="+mn-ea"/>
              <a:cs typeface="+mn-cs"/>
            </a:rPr>
            <a:t>Cadmus Group to conduct a comprehensive  Conservation Potential Assessment (CPA) (available upon request) of the  economic and achievable potential of more than 3,186 conservation measures for the years 2014-2023.  Cadmus'  methodology used assumptions from Tacoma Power's 2013 Integrated Resource Planning (IRP) process and utilized standard industry practices consistent with the methods used by the Northwest Power and Conservation Council and WAC 194-37-070 (6) (a) (i) through (xv) to determine the potential for cost-effective and achievable conservation measures within our utility service territory.  The 2013 CPA identified 40.05 aMW of cost-effective and achievable conservation in Tacoma Power's  service territory for the years 2014-2023.  This represented an annual goal of 4.05 aMW.  A </a:t>
          </a:r>
          <a:r>
            <a:rPr lang="en-US" sz="1100">
              <a:solidFill>
                <a:schemeClr val="dk1"/>
              </a:solidFill>
              <a:effectLst/>
              <a:latin typeface="+mn-lt"/>
              <a:ea typeface="+mn-ea"/>
              <a:cs typeface="+mn-cs"/>
            </a:rPr>
            <a:t>public meeting was held November 13, 2013 and the Tacoma Public Utility Board approved the target with Resolution U-10667 in accordance with WAC 194-37-070(3)(d).  </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Tacoma Power developed  its 2016-2017 conservation targets using the utility analysis option as authorized in WAC 194-37-070(6)(a).  In 2015, Tacoma Power contracted with the Applied Energy Group, Inc. (AEG) to conduct a comprehensive  Conservation Potential Assessment (CPA) (available upon request) of the  economic and achievable potential  for the years 2016-2025. </a:t>
          </a:r>
          <a:r>
            <a:rPr lang="en-US" sz="1100" b="0">
              <a:solidFill>
                <a:schemeClr val="dk1"/>
              </a:solidFill>
              <a:effectLst/>
              <a:latin typeface="+mn-lt"/>
              <a:ea typeface="+mn-ea"/>
              <a:cs typeface="+mn-cs"/>
            </a:rPr>
            <a:t>AEG's</a:t>
          </a:r>
          <a:r>
            <a:rPr lang="en-US" sz="1100">
              <a:solidFill>
                <a:schemeClr val="dk1"/>
              </a:solidFill>
              <a:effectLst/>
              <a:latin typeface="+mn-lt"/>
              <a:ea typeface="+mn-ea"/>
              <a:cs typeface="+mn-cs"/>
            </a:rPr>
            <a:t> methodology used assumptions from Tacoma Power's 2015 Integrated Resource Planning (IRP) process and utilized standard industry practices consistent with the methods used by the Northwest Power and Conservation Council and WAC 194-37-070 (6) (a) (i) through (xv) to determine the potential for cost-effective and achievable conservation measures within our utility service territory.  The 2016 CPA identified 46.8 aMW of cost-effective and achievable conservation in Tacoma Power's  service territory for the years 2016-2025.  This represented an annual goal of 4.68 aMW.  A public meeting was held </a:t>
          </a:r>
          <a:r>
            <a:rPr lang="en-US" sz="1100" b="0">
              <a:solidFill>
                <a:schemeClr val="dk1"/>
              </a:solidFill>
              <a:effectLst/>
              <a:latin typeface="+mn-lt"/>
              <a:ea typeface="+mn-ea"/>
              <a:cs typeface="+mn-cs"/>
            </a:rPr>
            <a:t>November 18, 2015 </a:t>
          </a:r>
          <a:r>
            <a:rPr lang="en-US" sz="1100">
              <a:solidFill>
                <a:schemeClr val="dk1"/>
              </a:solidFill>
              <a:effectLst/>
              <a:latin typeface="+mn-lt"/>
              <a:ea typeface="+mn-ea"/>
              <a:cs typeface="+mn-cs"/>
            </a:rPr>
            <a:t>and the Tacoma Public Utility Board approved the target with </a:t>
          </a:r>
          <a:r>
            <a:rPr lang="en-US" sz="1100" b="0">
              <a:solidFill>
                <a:schemeClr val="dk1"/>
              </a:solidFill>
              <a:effectLst/>
              <a:latin typeface="+mn-lt"/>
              <a:ea typeface="+mn-ea"/>
              <a:cs typeface="+mn-cs"/>
            </a:rPr>
            <a:t>Resolution U-10824 </a:t>
          </a:r>
          <a:r>
            <a:rPr lang="en-US" sz="1100">
              <a:solidFill>
                <a:schemeClr val="dk1"/>
              </a:solidFill>
              <a:effectLst/>
              <a:latin typeface="+mn-lt"/>
              <a:ea typeface="+mn-ea"/>
              <a:cs typeface="+mn-cs"/>
            </a:rPr>
            <a:t>in accordance with WAC 194-37-070(3)(d).  </a:t>
          </a:r>
          <a:endParaRPr lang="en-US">
            <a:effectLst/>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94</xdr:row>
      <xdr:rowOff>123825</xdr:rowOff>
    </xdr:from>
    <xdr:to>
      <xdr:col>14</xdr:col>
      <xdr:colOff>171449</xdr:colOff>
      <xdr:row>120</xdr:row>
      <xdr:rowOff>114300</xdr:rowOff>
    </xdr:to>
    <xdr:sp macro="" textlink="">
      <xdr:nvSpPr>
        <xdr:cNvPr id="3" name="TextBox 2"/>
        <xdr:cNvSpPr txBox="1"/>
      </xdr:nvSpPr>
      <xdr:spPr>
        <a:xfrm>
          <a:off x="0" y="19211925"/>
          <a:ext cx="11849099" cy="420052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i="0" baseline="0">
              <a:solidFill>
                <a:schemeClr val="dk1"/>
              </a:solidFill>
              <a:effectLst/>
              <a:latin typeface="+mn-lt"/>
              <a:ea typeface="+mn-ea"/>
              <a:cs typeface="+mn-cs"/>
            </a:rPr>
            <a:t>Mossyrock:  </a:t>
          </a:r>
          <a:r>
            <a:rPr lang="en-US" sz="1100" b="0" i="0" baseline="0">
              <a:solidFill>
                <a:schemeClr val="dk1"/>
              </a:solidFill>
              <a:effectLst/>
              <a:latin typeface="+mn-lt"/>
              <a:ea typeface="+mn-ea"/>
              <a:cs typeface="+mn-cs"/>
            </a:rPr>
            <a:t>The Mossyrock incremental hydro generation is based on improvements to 3 separate facilities within the Cowlitz River Project.  All qualify for the 20% apprenticeship labor credit.</a:t>
          </a:r>
          <a:endParaRPr lang="en-US">
            <a:effectLst/>
          </a:endParaRPr>
        </a:p>
        <a:p>
          <a:pPr eaLnBrk="1" fontAlgn="auto" latinLnBrk="0" hangingPunct="1"/>
          <a:r>
            <a:rPr lang="en-US" sz="1100" b="0" i="0" baseline="0">
              <a:solidFill>
                <a:schemeClr val="dk1"/>
              </a:solidFill>
              <a:effectLst/>
              <a:latin typeface="+mn-lt"/>
              <a:ea typeface="+mn-ea"/>
              <a:cs typeface="+mn-cs"/>
            </a:rPr>
            <a:t>- </a:t>
          </a:r>
          <a:r>
            <a:rPr lang="en-US" sz="1100" b="1" i="1" baseline="0">
              <a:solidFill>
                <a:schemeClr val="dk1"/>
              </a:solidFill>
              <a:effectLst/>
              <a:latin typeface="+mn-lt"/>
              <a:ea typeface="+mn-ea"/>
              <a:cs typeface="+mn-cs"/>
            </a:rPr>
            <a:t>Improved turbine </a:t>
          </a:r>
          <a:r>
            <a:rPr lang="en-US" sz="1100" b="0" i="0" baseline="0">
              <a:solidFill>
                <a:schemeClr val="dk1"/>
              </a:solidFill>
              <a:effectLst/>
              <a:latin typeface="+mn-lt"/>
              <a:ea typeface="+mn-ea"/>
              <a:cs typeface="+mn-cs"/>
            </a:rPr>
            <a:t>efficiency was calculated using the VISTA computer model based on "before" and "after" turbine production curves and 70 hydro years.  In previous reporting an incorrect formula reported  a fixed savings  of 26,488 MWh  This formula has been corrected and the average increase in annual production was 26,758 MWhs.  This is a fixed number that will no longer change over time.</a:t>
          </a:r>
          <a:endParaRPr lang="en-US">
            <a:effectLst/>
          </a:endParaRPr>
        </a:p>
        <a:p>
          <a:pPr eaLnBrk="1" fontAlgn="auto" latinLnBrk="0" hangingPunct="1"/>
          <a:r>
            <a:rPr lang="en-US" sz="1100" b="1" i="1" baseline="0">
              <a:solidFill>
                <a:schemeClr val="dk1"/>
              </a:solidFill>
              <a:effectLst/>
              <a:latin typeface="+mn-lt"/>
              <a:ea typeface="+mn-ea"/>
              <a:cs typeface="+mn-cs"/>
            </a:rPr>
            <a:t>- Improved Transformer</a:t>
          </a:r>
          <a:r>
            <a:rPr lang="en-US" sz="1100" b="0" i="0" baseline="0">
              <a:solidFill>
                <a:schemeClr val="dk1"/>
              </a:solidFill>
              <a:effectLst/>
              <a:latin typeface="+mn-lt"/>
              <a:ea typeface="+mn-ea"/>
              <a:cs typeface="+mn-cs"/>
            </a:rPr>
            <a:t> efficiency was calculated based on the difference in losses of the "new" v. "old" units due to inefficiencies.  The reduction in losses was calculated to be 270 MWhs.  This is a fixed number that does not change .</a:t>
          </a:r>
          <a:endParaRPr lang="en-US">
            <a:effectLst/>
          </a:endParaRPr>
        </a:p>
        <a:p>
          <a:pPr eaLnBrk="1" fontAlgn="auto" latinLnBrk="0" hangingPunct="1"/>
          <a:r>
            <a:rPr lang="en-US" sz="1100" b="1" i="1" baseline="0">
              <a:solidFill>
                <a:schemeClr val="dk1"/>
              </a:solidFill>
              <a:effectLst/>
              <a:latin typeface="+mn-lt"/>
              <a:ea typeface="+mn-ea"/>
              <a:cs typeface="+mn-cs"/>
            </a:rPr>
            <a:t>- Reduced Wicket Gate </a:t>
          </a:r>
          <a:r>
            <a:rPr lang="en-US" sz="1100" b="0" i="0" baseline="0">
              <a:solidFill>
                <a:schemeClr val="dk1"/>
              </a:solidFill>
              <a:effectLst/>
              <a:latin typeface="+mn-lt"/>
              <a:ea typeface="+mn-ea"/>
              <a:cs typeface="+mn-cs"/>
            </a:rPr>
            <a:t>leakage is calculated using "before" and "after" upgrade leakage rates , the amount of time the wicket gates are closed (i.e., the generator is turned off), and the elevation of Riffe lake.  This information is used to estimate the amount of saved water that is subsequently be used for generation.  The estimated savings for 2016 is 18,000 MWh.  This number will be updated each year.</a:t>
          </a:r>
          <a:endParaRPr lang="en-US">
            <a:effectLst/>
          </a:endParaRPr>
        </a:p>
        <a:p>
          <a:pPr eaLnBrk="1" fontAlgn="auto" latinLnBrk="0" hangingPunct="1"/>
          <a:r>
            <a:rPr lang="en-US" sz="1100" b="1" i="0" baseline="0">
              <a:solidFill>
                <a:schemeClr val="dk1"/>
              </a:solidFill>
              <a:effectLst/>
              <a:latin typeface="+mn-lt"/>
              <a:ea typeface="+mn-ea"/>
              <a:cs typeface="+mn-cs"/>
            </a:rPr>
            <a:t>Cushman:  </a:t>
          </a:r>
          <a:r>
            <a:rPr lang="en-US" sz="1100" b="0" i="0" baseline="0">
              <a:solidFill>
                <a:schemeClr val="dk1"/>
              </a:solidFill>
              <a:effectLst/>
              <a:latin typeface="+mn-lt"/>
              <a:ea typeface="+mn-ea"/>
              <a:cs typeface="+mn-cs"/>
            </a:rPr>
            <a:t>The Cushman incremental hydro generation is based on two improvements to the project.</a:t>
          </a:r>
          <a:endParaRPr lang="en-US">
            <a:effectLst/>
          </a:endParaRPr>
        </a:p>
        <a:p>
          <a:pPr eaLnBrk="1" fontAlgn="auto" latinLnBrk="0" hangingPunct="1"/>
          <a:r>
            <a:rPr lang="en-US" sz="1100" b="1" i="1" baseline="0">
              <a:solidFill>
                <a:schemeClr val="dk1"/>
              </a:solidFill>
              <a:effectLst/>
              <a:latin typeface="+mn-lt"/>
              <a:ea typeface="+mn-ea"/>
              <a:cs typeface="+mn-cs"/>
            </a:rPr>
            <a:t>- Reduced Butterfly Valve </a:t>
          </a:r>
          <a:r>
            <a:rPr lang="en-US" sz="1100" b="0" i="0" baseline="0">
              <a:solidFill>
                <a:schemeClr val="dk1"/>
              </a:solidFill>
              <a:effectLst/>
              <a:latin typeface="+mn-lt"/>
              <a:ea typeface="+mn-ea"/>
              <a:cs typeface="+mn-cs"/>
            </a:rPr>
            <a:t>leakage reduction work at Cushman No. 2 dam was completed in 2012.  The water saved water is used to generate additional power.  The actual amount of incremental generation depends on the amount of time the butterfly valves are closed (i.e., the generator is turned off) and the  "before" and "after" leakage rates.  The estimated savings for 2016 equals 1,900 MWh.  This number will be updated each year</a:t>
          </a:r>
          <a:endParaRPr lang="en-US">
            <a:effectLst/>
          </a:endParaRPr>
        </a:p>
        <a:p>
          <a:pPr eaLnBrk="1" fontAlgn="auto" latinLnBrk="0" hangingPunct="1"/>
          <a:r>
            <a:rPr lang="en-US" sz="1100" b="1" i="1" baseline="0">
              <a:solidFill>
                <a:schemeClr val="dk1"/>
              </a:solidFill>
              <a:effectLst/>
              <a:latin typeface="+mn-lt"/>
              <a:ea typeface="+mn-ea"/>
              <a:cs typeface="+mn-cs"/>
            </a:rPr>
            <a:t>- Cushman units 34 &amp; 35 </a:t>
          </a:r>
          <a:r>
            <a:rPr lang="en-US" sz="1100" b="0" i="0" baseline="0">
              <a:solidFill>
                <a:schemeClr val="dk1"/>
              </a:solidFill>
              <a:effectLst/>
              <a:latin typeface="+mn-lt"/>
              <a:ea typeface="+mn-ea"/>
              <a:cs typeface="+mn-cs"/>
            </a:rPr>
            <a:t>began generating incremental hydro electricity on February 1, 2013, using water released into  the lower Skookomish river as required by our FERC license.  The estimated output in 2016 for units 34 and 35 equal  11,500 and 8,500, respectively.  These numbers will be updated each year.</a:t>
          </a:r>
          <a:endParaRPr lang="en-US">
            <a:effectLst/>
          </a:endParaRPr>
        </a:p>
        <a:p>
          <a:pPr eaLnBrk="1" fontAlgn="auto" latinLnBrk="0" hangingPunct="1"/>
          <a:r>
            <a:rPr lang="en-US" sz="1100" b="1" i="0" baseline="0">
              <a:solidFill>
                <a:schemeClr val="dk1"/>
              </a:solidFill>
              <a:effectLst/>
              <a:latin typeface="+mn-lt"/>
              <a:ea typeface="+mn-ea"/>
              <a:cs typeface="+mn-cs"/>
            </a:rPr>
            <a:t>LaGrande Unit No. 6:</a:t>
          </a:r>
          <a:r>
            <a:rPr lang="en-US" sz="1100" b="0" i="0" baseline="0">
              <a:solidFill>
                <a:schemeClr val="dk1"/>
              </a:solidFill>
              <a:effectLst/>
              <a:latin typeface="+mn-lt"/>
              <a:ea typeface="+mn-ea"/>
              <a:cs typeface="+mn-cs"/>
            </a:rPr>
            <a:t>  The 2015 output for LaGrande Unit 6 is estimated to be 3,300 MWh.  This number will be updated each year.    </a:t>
          </a:r>
          <a:endParaRPr lang="en-US">
            <a:effectLst/>
          </a:endParaRPr>
        </a:p>
        <a:p>
          <a:pPr eaLnBrk="1" fontAlgn="auto" latinLnBrk="0" hangingPunct="1"/>
          <a:r>
            <a:rPr lang="en-US" sz="1100" b="1" i="0" baseline="0">
              <a:solidFill>
                <a:schemeClr val="dk1"/>
              </a:solidFill>
              <a:effectLst/>
              <a:latin typeface="+mn-lt"/>
              <a:ea typeface="+mn-ea"/>
              <a:cs typeface="+mn-cs"/>
            </a:rPr>
            <a:t>Asset Controlling Supplier (ACS) Sales: </a:t>
          </a:r>
          <a:r>
            <a:rPr lang="en-US" sz="1100" b="0" i="0" baseline="0">
              <a:solidFill>
                <a:schemeClr val="dk1"/>
              </a:solidFill>
              <a:effectLst/>
              <a:latin typeface="+mn-lt"/>
              <a:ea typeface="+mn-ea"/>
              <a:cs typeface="+mn-cs"/>
            </a:rPr>
            <a:t> Estimate that Tacoma Power will sell  810,550 MWh of excess hydro power with environmental attributes (ACS) in 2016.  A deduction  has been made to 2016 incremental hydro and apprenticeship labor for 10,917 MWh worth $8,584.</a:t>
          </a:r>
          <a:endParaRPr lang="en-US" sz="1100" b="1" i="0" baseline="0">
            <a:solidFill>
              <a:schemeClr val="dk1"/>
            </a:solidFill>
            <a:effectLst/>
            <a:latin typeface="+mn-lt"/>
            <a:ea typeface="+mn-ea"/>
            <a:cs typeface="+mn-cs"/>
          </a:endParaRPr>
        </a:p>
        <a:p>
          <a:pPr eaLnBrk="1" fontAlgn="auto" latinLnBrk="0" hangingPunct="1"/>
          <a:r>
            <a:rPr lang="en-US" sz="1100" b="1" i="0" baseline="0">
              <a:solidFill>
                <a:schemeClr val="dk1"/>
              </a:solidFill>
              <a:effectLst/>
              <a:latin typeface="+mn-lt"/>
              <a:ea typeface="+mn-ea"/>
              <a:cs typeface="+mn-cs"/>
            </a:rPr>
            <a:t>Grant PUD</a:t>
          </a:r>
          <a:r>
            <a:rPr lang="en-US" sz="1100" b="0" i="0" baseline="0">
              <a:solidFill>
                <a:schemeClr val="dk1"/>
              </a:solidFill>
              <a:effectLst/>
              <a:latin typeface="+mn-lt"/>
              <a:ea typeface="+mn-ea"/>
              <a:cs typeface="+mn-cs"/>
            </a:rPr>
            <a:t>:   Tacoma Power's portion of the Grant County PUD 2015 incremental hydro at Wanapum is 1,618 MWh and  at Priest Rapids 1,824 MWh for a total of 3,442 MWh.  This number will be updated each year.</a:t>
          </a:r>
          <a:endParaRPr lang="en-US">
            <a:effectLst/>
          </a:endParaRPr>
        </a:p>
        <a:p>
          <a:pPr eaLnBrk="1" fontAlgn="auto" latinLnBrk="0" hangingPunct="1"/>
          <a:r>
            <a:rPr lang="en-US" sz="1100" b="1" i="0" baseline="0">
              <a:solidFill>
                <a:schemeClr val="dk1"/>
              </a:solidFill>
              <a:effectLst/>
              <a:latin typeface="+mn-lt"/>
              <a:ea typeface="+mn-ea"/>
              <a:cs typeface="+mn-cs"/>
            </a:rPr>
            <a:t>BPA RECs</a:t>
          </a:r>
          <a:r>
            <a:rPr lang="en-US" sz="1100" b="0" i="0" baseline="0">
              <a:solidFill>
                <a:schemeClr val="dk1"/>
              </a:solidFill>
              <a:effectLst/>
              <a:latin typeface="+mn-lt"/>
              <a:ea typeface="+mn-ea"/>
              <a:cs typeface="+mn-cs"/>
            </a:rPr>
            <a:t>:  As a Tier-1 customer, TP receives a portion of the RECs from BPA's wind projects.  Tacoma's estimated Tier I allocation for 2016 is </a:t>
          </a:r>
          <a:r>
            <a:rPr lang="en-US" sz="1100" b="0" i="0" u="sng" baseline="0">
              <a:solidFill>
                <a:schemeClr val="dk1"/>
              </a:solidFill>
              <a:effectLst/>
              <a:latin typeface="+mn-lt"/>
              <a:ea typeface="+mn-ea"/>
              <a:cs typeface="+mn-cs"/>
            </a:rPr>
            <a:t>20,300 MWh</a:t>
          </a:r>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1" i="0" baseline="0">
              <a:solidFill>
                <a:schemeClr val="dk1"/>
              </a:solidFill>
              <a:effectLst/>
              <a:latin typeface="+mn-lt"/>
              <a:ea typeface="+mn-ea"/>
              <a:cs typeface="+mn-cs"/>
            </a:rPr>
            <a:t>Total of 2016 Incremental Hydro and Carryover RECs minus ACS sales from 2016</a:t>
          </a:r>
          <a:r>
            <a:rPr lang="en-US" sz="1100" b="0" i="0" baseline="0">
              <a:solidFill>
                <a:schemeClr val="dk1"/>
              </a:solidFill>
              <a:effectLst/>
              <a:latin typeface="+mn-lt"/>
              <a:ea typeface="+mn-ea"/>
              <a:cs typeface="+mn-cs"/>
            </a:rPr>
            <a:t>:  Including the 20% apprenticeship labor credit , the  total Incremental hydro for 2016 is estimated to be  </a:t>
          </a:r>
          <a:r>
            <a:rPr lang="en-US" sz="1100" b="0" i="0" u="sng" baseline="0">
              <a:solidFill>
                <a:schemeClr val="dk1"/>
              </a:solidFill>
              <a:effectLst/>
              <a:latin typeface="+mn-lt"/>
              <a:ea typeface="+mn-ea"/>
              <a:cs typeface="+mn-cs"/>
            </a:rPr>
            <a:t>75,759 MWh</a:t>
          </a:r>
          <a:r>
            <a:rPr lang="en-US" sz="1100" b="0" i="0" baseline="0">
              <a:solidFill>
                <a:schemeClr val="dk1"/>
              </a:solidFill>
              <a:effectLst/>
              <a:latin typeface="+mn-lt"/>
              <a:ea typeface="+mn-ea"/>
              <a:cs typeface="+mn-cs"/>
            </a:rPr>
            <a:t>. The carryover RECs from 2015 is  </a:t>
          </a:r>
          <a:r>
            <a:rPr lang="en-US" sz="1100" b="0" i="0" u="sng" baseline="0">
              <a:solidFill>
                <a:schemeClr val="dk1"/>
              </a:solidFill>
              <a:effectLst/>
              <a:latin typeface="+mn-lt"/>
              <a:ea typeface="+mn-ea"/>
              <a:cs typeface="+mn-cs"/>
            </a:rPr>
            <a:t>181,466 MWh</a:t>
          </a:r>
          <a:r>
            <a:rPr lang="en-US" sz="1100" b="0" i="0" baseline="0">
              <a:solidFill>
                <a:schemeClr val="dk1"/>
              </a:solidFill>
              <a:effectLst/>
              <a:latin typeface="+mn-lt"/>
              <a:ea typeface="+mn-ea"/>
              <a:cs typeface="+mn-cs"/>
            </a:rPr>
            <a:t>. These two categories total  to  257,225 MWh.</a:t>
          </a:r>
          <a:endParaRPr lang="en-US">
            <a:effectLst/>
          </a:endParaRPr>
        </a:p>
        <a:p>
          <a:pPr eaLnBrk="1" fontAlgn="auto" latinLnBrk="0" hangingPunct="1"/>
          <a:r>
            <a:rPr lang="en-US" sz="1100" b="1" i="0" baseline="0">
              <a:solidFill>
                <a:schemeClr val="dk1"/>
              </a:solidFill>
              <a:effectLst/>
              <a:latin typeface="+mn-lt"/>
              <a:ea typeface="+mn-ea"/>
              <a:cs typeface="+mn-cs"/>
            </a:rPr>
            <a:t>Compliance for 2016 and Carryover RECS for 2017:</a:t>
          </a:r>
          <a:r>
            <a:rPr lang="en-US" sz="1100" b="0" i="0" baseline="0">
              <a:solidFill>
                <a:schemeClr val="dk1"/>
              </a:solidFill>
              <a:effectLst/>
              <a:latin typeface="+mn-lt"/>
              <a:ea typeface="+mn-ea"/>
              <a:cs typeface="+mn-cs"/>
            </a:rPr>
            <a:t> Incremental Hydro (</a:t>
          </a:r>
          <a:r>
            <a:rPr lang="en-US" sz="1100" b="0" i="0" u="sng" baseline="0">
              <a:solidFill>
                <a:schemeClr val="dk1"/>
              </a:solidFill>
              <a:effectLst/>
              <a:latin typeface="+mn-lt"/>
              <a:ea typeface="+mn-ea"/>
              <a:cs typeface="+mn-cs"/>
            </a:rPr>
            <a:t>75,759 MWh</a:t>
          </a:r>
          <a:r>
            <a:rPr lang="en-US" sz="1100" b="0" i="0" baseline="0">
              <a:solidFill>
                <a:schemeClr val="dk1"/>
              </a:solidFill>
              <a:effectLst/>
              <a:latin typeface="+mn-lt"/>
              <a:ea typeface="+mn-ea"/>
              <a:cs typeface="+mn-cs"/>
            </a:rPr>
            <a:t>) + Carryover RECS from 2015 (</a:t>
          </a:r>
          <a:r>
            <a:rPr lang="en-US" sz="1100" b="0" i="0" u="sng" baseline="0">
              <a:solidFill>
                <a:schemeClr val="dk1"/>
              </a:solidFill>
              <a:effectLst/>
              <a:latin typeface="+mn-lt"/>
              <a:ea typeface="+mn-ea"/>
              <a:cs typeface="+mn-cs"/>
            </a:rPr>
            <a:t>181,466 MWh</a:t>
          </a:r>
          <a:r>
            <a:rPr lang="en-US" sz="1100" b="0" i="0" baseline="0">
              <a:solidFill>
                <a:schemeClr val="dk1"/>
              </a:solidFill>
              <a:effectLst/>
              <a:latin typeface="+mn-lt"/>
              <a:ea typeface="+mn-ea"/>
              <a:cs typeface="+mn-cs"/>
            </a:rPr>
            <a:t>) + BPA 2016 Wind RECS (</a:t>
          </a:r>
          <a:r>
            <a:rPr lang="en-US" sz="1100" b="0" i="0" u="sng" baseline="0">
              <a:solidFill>
                <a:schemeClr val="dk1"/>
              </a:solidFill>
              <a:effectLst/>
              <a:latin typeface="+mn-lt"/>
              <a:ea typeface="+mn-ea"/>
              <a:cs typeface="+mn-cs"/>
            </a:rPr>
            <a:t>20,300 MWh</a:t>
          </a:r>
          <a:r>
            <a:rPr lang="en-US" sz="1100" b="0" i="0" baseline="0">
              <a:solidFill>
                <a:schemeClr val="dk1"/>
              </a:solidFill>
              <a:effectLst/>
              <a:latin typeface="+mn-lt"/>
              <a:ea typeface="+mn-ea"/>
              <a:cs typeface="+mn-cs"/>
            </a:rPr>
            <a:t>) + Iberdrola Wind RECS (</a:t>
          </a:r>
          <a:r>
            <a:rPr lang="en-US" sz="1100" b="0" i="0" u="sng" baseline="0">
              <a:solidFill>
                <a:schemeClr val="dk1"/>
              </a:solidFill>
              <a:effectLst/>
              <a:latin typeface="+mn-lt"/>
              <a:ea typeface="+mn-ea"/>
              <a:cs typeface="+mn-cs"/>
            </a:rPr>
            <a:t>51,000 MWh</a:t>
          </a:r>
          <a:r>
            <a:rPr lang="en-US" sz="1100" b="0" i="0" baseline="0">
              <a:solidFill>
                <a:schemeClr val="dk1"/>
              </a:solidFill>
              <a:effectLst/>
              <a:latin typeface="+mn-lt"/>
              <a:ea typeface="+mn-ea"/>
              <a:cs typeface="+mn-cs"/>
            </a:rPr>
            <a:t>) + IWP Wind RECS </a:t>
          </a:r>
          <a:r>
            <a:rPr lang="en-US" sz="1100" b="0" i="0" u="sng" baseline="0">
              <a:solidFill>
                <a:schemeClr val="dk1"/>
              </a:solidFill>
              <a:effectLst/>
              <a:latin typeface="+mn-lt"/>
              <a:ea typeface="+mn-ea"/>
              <a:cs typeface="+mn-cs"/>
            </a:rPr>
            <a:t>126,000</a:t>
          </a:r>
          <a:r>
            <a:rPr lang="en-US" sz="1100" b="0" i="0" baseline="0">
              <a:solidFill>
                <a:schemeClr val="dk1"/>
              </a:solidFill>
              <a:effectLst/>
              <a:latin typeface="+mn-lt"/>
              <a:ea typeface="+mn-ea"/>
              <a:cs typeface="+mn-cs"/>
            </a:rPr>
            <a:t> + Chelan PUD Wind RECS </a:t>
          </a:r>
          <a:r>
            <a:rPr lang="en-US" sz="1100" b="0" i="0" u="sng" baseline="0">
              <a:solidFill>
                <a:schemeClr val="dk1"/>
              </a:solidFill>
              <a:effectLst/>
              <a:latin typeface="+mn-lt"/>
              <a:ea typeface="+mn-ea"/>
              <a:cs typeface="+mn-cs"/>
            </a:rPr>
            <a:t>17,000</a:t>
          </a:r>
          <a:r>
            <a:rPr lang="en-US" sz="1100" b="0" i="0" u="none" baseline="0">
              <a:solidFill>
                <a:schemeClr val="dk1"/>
              </a:solidFill>
              <a:effectLst/>
              <a:latin typeface="+mn-lt"/>
              <a:ea typeface="+mn-ea"/>
              <a:cs typeface="+mn-cs"/>
            </a:rPr>
            <a:t> + Constellation/Exelon Wind RECS  </a:t>
          </a:r>
          <a:r>
            <a:rPr lang="en-US" sz="1100" b="0" i="0" u="sng" baseline="0">
              <a:solidFill>
                <a:schemeClr val="dk1"/>
              </a:solidFill>
              <a:effectLst/>
              <a:latin typeface="+mn-lt"/>
              <a:ea typeface="+mn-ea"/>
              <a:cs typeface="+mn-cs"/>
            </a:rPr>
            <a:t>40,000</a:t>
          </a:r>
          <a:r>
            <a:rPr lang="en-US" sz="1100" b="0" i="0" u="none" baseline="0">
              <a:solidFill>
                <a:schemeClr val="dk1"/>
              </a:solidFill>
              <a:effectLst/>
              <a:latin typeface="+mn-lt"/>
              <a:ea typeface="+mn-ea"/>
              <a:cs typeface="+mn-cs"/>
            </a:rPr>
            <a:t> + Grays Harbor PUD Biomass RECS  </a:t>
          </a:r>
          <a:r>
            <a:rPr lang="en-US" sz="1100" b="0" i="0" u="sng" baseline="0">
              <a:solidFill>
                <a:schemeClr val="dk1"/>
              </a:solidFill>
              <a:effectLst/>
              <a:latin typeface="+mn-lt"/>
              <a:ea typeface="+mn-ea"/>
              <a:cs typeface="+mn-cs"/>
            </a:rPr>
            <a:t>50,000 </a:t>
          </a:r>
          <a:r>
            <a:rPr lang="en-US" sz="1100" b="0" i="0" baseline="0">
              <a:solidFill>
                <a:schemeClr val="dk1"/>
              </a:solidFill>
              <a:effectLst/>
              <a:latin typeface="+mn-lt"/>
              <a:ea typeface="+mn-ea"/>
              <a:cs typeface="+mn-cs"/>
            </a:rPr>
            <a:t>= </a:t>
          </a:r>
          <a:r>
            <a:rPr lang="en-US" sz="1100" b="0" i="0" u="sng" baseline="0">
              <a:solidFill>
                <a:schemeClr val="dk1"/>
              </a:solidFill>
              <a:effectLst/>
              <a:latin typeface="+mn-lt"/>
              <a:ea typeface="+mn-ea"/>
              <a:cs typeface="+mn-cs"/>
            </a:rPr>
            <a:t>561,525 </a:t>
          </a:r>
          <a:r>
            <a:rPr lang="en-US" sz="1100" b="0" i="0" baseline="0">
              <a:solidFill>
                <a:schemeClr val="dk1"/>
              </a:solidFill>
              <a:effectLst/>
              <a:latin typeface="+mn-lt"/>
              <a:ea typeface="+mn-ea"/>
              <a:cs typeface="+mn-cs"/>
            </a:rPr>
            <a:t>MWh in renewables.  Subtract 561,525 MWh from the 2016 target of 419,278 MWh = </a:t>
          </a:r>
          <a:r>
            <a:rPr lang="en-US" sz="1100" b="0" i="0" u="sng" baseline="0">
              <a:solidFill>
                <a:schemeClr val="dk1"/>
              </a:solidFill>
              <a:effectLst/>
              <a:latin typeface="+mn-lt"/>
              <a:ea typeface="+mn-ea"/>
              <a:cs typeface="+mn-cs"/>
            </a:rPr>
            <a:t>142,247 MWh for 2017 Carryover</a:t>
          </a:r>
          <a:r>
            <a:rPr lang="en-US" sz="1100" b="0" i="0" baseline="0">
              <a:solidFill>
                <a:schemeClr val="dk1"/>
              </a:solidFill>
              <a:effectLst/>
              <a:latin typeface="+mn-lt"/>
              <a:ea typeface="+mn-ea"/>
              <a:cs typeface="+mn-cs"/>
            </a:rPr>
            <a:t>. </a:t>
          </a:r>
        </a:p>
        <a:p>
          <a:endParaRPr lang="en-US"/>
        </a:p>
      </xdr:txBody>
    </xdr:sp>
    <xdr:clientData/>
  </xdr:twoCellAnchor>
  <xdr:twoCellAnchor>
    <xdr:from>
      <xdr:col>0</xdr:col>
      <xdr:colOff>19051</xdr:colOff>
      <xdr:row>20</xdr:row>
      <xdr:rowOff>152401</xdr:rowOff>
    </xdr:from>
    <xdr:to>
      <xdr:col>14</xdr:col>
      <xdr:colOff>19050</xdr:colOff>
      <xdr:row>33</xdr:row>
      <xdr:rowOff>66675</xdr:rowOff>
    </xdr:to>
    <xdr:sp macro="" textlink="">
      <xdr:nvSpPr>
        <xdr:cNvPr id="4" name="TextBox 3"/>
        <xdr:cNvSpPr txBox="1"/>
      </xdr:nvSpPr>
      <xdr:spPr>
        <a:xfrm>
          <a:off x="19051" y="4333876"/>
          <a:ext cx="1130617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2016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2016 for the purpose of meeting its Energy Independence Act (EIA) renewables target for 2016. The actual resources and RECs used to comply with the 2016 EIA target may vary from those reported here. Utilities will report in June of 2018 on the actual results for 2016.</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2016 is 9%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2016 target year. Utilities that elect to use a compliance method based on renewable investments must provide additional information demonstrating compliance with that method. Refer to WAC 194-37-110(2) and (3) for specific requirements.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0</xdr:col>
          <xdr:colOff>733425</xdr:colOff>
          <xdr:row>11</xdr:row>
          <xdr:rowOff>123825</xdr:rowOff>
        </xdr:from>
        <xdr:to>
          <xdr:col>3</xdr:col>
          <xdr:colOff>428625</xdr:colOff>
          <xdr:row>15</xdr:row>
          <xdr:rowOff>123825</xdr:rowOff>
        </xdr:to>
        <xdr:grpSp>
          <xdr:nvGrpSpPr>
            <xdr:cNvPr id="2" name="Group 1"/>
            <xdr:cNvGrpSpPr/>
          </xdr:nvGrpSpPr>
          <xdr:grpSpPr>
            <a:xfrm>
              <a:off x="733425" y="2266950"/>
              <a:ext cx="3352800" cy="695325"/>
              <a:chOff x="1362075" y="2266950"/>
              <a:chExt cx="1524000" cy="533404"/>
            </a:xfrm>
          </xdr:grpSpPr>
          <xdr:sp macro="" textlink="">
            <xdr:nvSpPr>
              <xdr:cNvPr id="5453" name="Check Box 333" hidden="1">
                <a:extLst>
                  <a:ext uri="{63B3BB69-23CF-44E3-9099-C40C66FF867C}">
                    <a14:compatExt spid="_x0000_s5453"/>
                  </a:ext>
                </a:extLst>
              </xdr:cNvPr>
              <xdr:cNvSpPr/>
            </xdr:nvSpPr>
            <xdr:spPr>
              <a:xfrm>
                <a:off x="1362075" y="2714629"/>
                <a:ext cx="1524000" cy="857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sp macro="" textlink="">
            <xdr:nvSpPr>
              <xdr:cNvPr id="5454" name="Check Box 334" hidden="1">
                <a:extLst>
                  <a:ext uri="{63B3BB69-23CF-44E3-9099-C40C66FF867C}">
                    <a14:compatExt spid="_x0000_s5454"/>
                  </a:ext>
                </a:extLst>
              </xdr:cNvPr>
              <xdr:cNvSpPr/>
            </xdr:nvSpPr>
            <xdr:spPr>
              <a:xfrm>
                <a:off x="1362075" y="2447925"/>
                <a:ext cx="1447800" cy="2095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sp macro="" textlink="">
            <xdr:nvSpPr>
              <xdr:cNvPr id="5455" name="Check Box 335" hidden="1">
                <a:extLst>
                  <a:ext uri="{63B3BB69-23CF-44E3-9099-C40C66FF867C}">
                    <a14:compatExt spid="_x0000_s5455"/>
                  </a:ext>
                </a:extLst>
              </xdr:cNvPr>
              <xdr:cNvSpPr/>
            </xdr:nvSpPr>
            <xdr:spPr>
              <a:xfrm>
                <a:off x="1362075" y="2266950"/>
                <a:ext cx="1352550" cy="13335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85725</xdr:colOff>
      <xdr:row>35</xdr:row>
      <xdr:rowOff>76200</xdr:rowOff>
    </xdr:from>
    <xdr:to>
      <xdr:col>11</xdr:col>
      <xdr:colOff>57150</xdr:colOff>
      <xdr:row>61</xdr:row>
      <xdr:rowOff>19050</xdr:rowOff>
    </xdr:to>
    <xdr:sp macro="" textlink="">
      <xdr:nvSpPr>
        <xdr:cNvPr id="3" name="TextBox 2"/>
        <xdr:cNvSpPr txBox="1"/>
      </xdr:nvSpPr>
      <xdr:spPr>
        <a:xfrm>
          <a:off x="6134100" y="7534275"/>
          <a:ext cx="4267200" cy="48958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The expenditures for incremental hydro is for apprenticeship labor only.  </a:t>
          </a:r>
          <a:r>
            <a:rPr lang="en-US" sz="1100">
              <a:solidFill>
                <a:schemeClr val="dk1"/>
              </a:solidFill>
              <a:effectLst/>
              <a:latin typeface="+mn-lt"/>
              <a:ea typeface="+mn-ea"/>
              <a:cs typeface="+mn-cs"/>
            </a:rPr>
            <a:t>Figures from Tacoma Power Production Engineering conclude that incremental Apprenticeship Labor to achieve the 15% threshold for the Mossyrock rebuild was $886,000.  This number is reported in the Mossyrock Rebuild Apprentice and Journey Worker Project report (January 19, 2011).   The incremental Apprenticeship labor cost is amortized over 35 years at a 3.7% finance rate to determine the annual costs of $45,554 over the life of the facilities.  The</a:t>
          </a:r>
          <a:r>
            <a:rPr lang="en-US" sz="1100" baseline="0">
              <a:solidFill>
                <a:schemeClr val="dk1"/>
              </a:solidFill>
              <a:effectLst/>
              <a:latin typeface="+mn-lt"/>
              <a:ea typeface="+mn-ea"/>
              <a:cs typeface="+mn-cs"/>
            </a:rPr>
            <a:t> $45,554 was prorated for Mossyrock Rebuild projects: Improved Turbine Efficiency; Reduced Wicket Gate Leakage and Improved Transformer Efficiency.  </a:t>
          </a:r>
          <a:r>
            <a:rPr lang="en-US" sz="1100">
              <a:solidFill>
                <a:schemeClr val="dk1"/>
              </a:solidFill>
              <a:effectLst/>
              <a:latin typeface="+mn-lt"/>
              <a:ea typeface="+mn-ea"/>
              <a:cs typeface="+mn-cs"/>
            </a:rPr>
            <a:t>Estimates from Production Engineering concluded Apprenticeship Labor for the Cushman (North Fork power house) equaled $513,000.  This figure was reported in the NorthFork Apprenticeship Utilization report (October 31, 2013).  Using the same finance rate and a 50 year project life, the annual contribution to utility costs is $22,600.  The 3.7% finance rate was obtained from Rates, Planning and Analysis Section of Tacoma Power. The $22,600 was prorated for Cushman NorthFork Units</a:t>
          </a:r>
          <a:r>
            <a:rPr lang="en-US" sz="1100" baseline="0">
              <a:solidFill>
                <a:schemeClr val="dk1"/>
              </a:solidFill>
              <a:effectLst/>
              <a:latin typeface="+mn-lt"/>
              <a:ea typeface="+mn-ea"/>
              <a:cs typeface="+mn-cs"/>
            </a:rPr>
            <a:t> 34 and Unit 35.  A pro-rated deduction of $8,584 for Asset Controlling Supplier (ACS Sales) was taken from all Tacoma Power Incremental Hydro and Apprenticeship Labor. Tacoma Power is anticipating receipt of Wind Power RECS from BPA (20,300 MWh@$0/MWh), Iberdrola (51,000 MWh@$19.75/MWh), Idaho Wind Partners (126,000 MWh @$4/MWh), Chelan PUD (17,000 MWh@$6.25/MWh) Constellation/Exelon  (40,000 MWh@$6.18/MWh) and  Biomass RECS from Grays Harbor PUD (50,000 MWh@$6/MWh).  The costs of RECS of the 141,247 MWh to be carried forward to 2017 is esimated at $1,566,180 ($11.01/REC).</a:t>
          </a:r>
          <a:endParaRPr lang="en-US">
            <a:effectLst/>
          </a:endParaRP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jstafford@cityoftacoma.org"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9"/>
  <sheetViews>
    <sheetView workbookViewId="0">
      <selection activeCell="A4" sqref="A4"/>
    </sheetView>
  </sheetViews>
  <sheetFormatPr defaultRowHeight="15" x14ac:dyDescent="0.25"/>
  <cols>
    <col min="1" max="1" width="135.140625" customWidth="1"/>
    <col min="14" max="14" width="11.7109375" customWidth="1"/>
  </cols>
  <sheetData>
    <row r="1" spans="1:14" ht="18.75" x14ac:dyDescent="0.25">
      <c r="A1" s="70" t="s">
        <v>193</v>
      </c>
    </row>
    <row r="2" spans="1:14" x14ac:dyDescent="0.25">
      <c r="A2" s="71" t="s">
        <v>109</v>
      </c>
    </row>
    <row r="3" spans="1:14" x14ac:dyDescent="0.25">
      <c r="A3" s="70"/>
      <c r="N3" s="43"/>
    </row>
    <row r="4" spans="1:14" x14ac:dyDescent="0.25">
      <c r="A4" s="69" t="s">
        <v>110</v>
      </c>
    </row>
    <row r="5" spans="1:14" x14ac:dyDescent="0.25">
      <c r="A5" s="69" t="s">
        <v>105</v>
      </c>
      <c r="N5">
        <f>IF(REN_Load_2015+REN_Load_2014&gt;0,AVERAGE(REN_Load_2015,REN_Load_2014),0)</f>
        <v>4658641.5</v>
      </c>
    </row>
    <row r="6" spans="1:14" x14ac:dyDescent="0.25">
      <c r="A6" s="69" t="s">
        <v>196</v>
      </c>
    </row>
    <row r="8" spans="1:14" x14ac:dyDescent="0.25">
      <c r="A8" s="72" t="s">
        <v>191</v>
      </c>
    </row>
    <row r="9" spans="1:14" x14ac:dyDescent="0.25">
      <c r="A9" s="73" t="s">
        <v>192</v>
      </c>
    </row>
  </sheetData>
  <sheetProtection sheet="1" objects="1" scenarios="1"/>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7"/>
  <sheetViews>
    <sheetView workbookViewId="0">
      <selection activeCell="E5" sqref="E5"/>
    </sheetView>
  </sheetViews>
  <sheetFormatPr defaultRowHeight="15" x14ac:dyDescent="0.25"/>
  <cols>
    <col min="1" max="1" width="107" customWidth="1"/>
    <col min="14" max="14" width="11.7109375" customWidth="1"/>
  </cols>
  <sheetData>
    <row r="1" spans="1:14" ht="18.75" x14ac:dyDescent="0.25">
      <c r="A1" s="38" t="s">
        <v>111</v>
      </c>
    </row>
    <row r="2" spans="1:14" ht="18.75" x14ac:dyDescent="0.25">
      <c r="A2" s="39"/>
    </row>
    <row r="3" spans="1:14" ht="57" x14ac:dyDescent="0.25">
      <c r="A3" s="40" t="s">
        <v>112</v>
      </c>
      <c r="N3" s="43"/>
    </row>
    <row r="4" spans="1:14" x14ac:dyDescent="0.25">
      <c r="A4" s="40"/>
      <c r="N4" s="43"/>
    </row>
    <row r="5" spans="1:14" ht="72" x14ac:dyDescent="0.25">
      <c r="A5" s="40" t="s">
        <v>113</v>
      </c>
      <c r="N5" s="43"/>
    </row>
    <row r="6" spans="1:14" x14ac:dyDescent="0.25">
      <c r="A6" s="40"/>
    </row>
    <row r="7" spans="1:14" ht="29.25" thickBot="1" x14ac:dyDescent="0.3">
      <c r="A7" s="41" t="s">
        <v>114</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F0"/>
    <pageSetUpPr fitToPage="1"/>
  </sheetPr>
  <dimension ref="A1:K56"/>
  <sheetViews>
    <sheetView tabSelected="1" zoomScaleNormal="100" workbookViewId="0">
      <selection activeCell="B5" sqref="B5:D5"/>
    </sheetView>
  </sheetViews>
  <sheetFormatPr defaultColWidth="9.140625" defaultRowHeight="12.75" x14ac:dyDescent="0.2"/>
  <cols>
    <col min="1" max="2" width="16.7109375" style="87" customWidth="1"/>
    <col min="3" max="3" width="17.140625" style="87" customWidth="1"/>
    <col min="4" max="4" width="16" style="87" customWidth="1"/>
    <col min="5" max="5" width="4.42578125" style="87" customWidth="1"/>
    <col min="6" max="6" width="14.42578125" style="87" customWidth="1"/>
    <col min="7" max="7" width="15.28515625" style="87" customWidth="1"/>
    <col min="8" max="8" width="12.28515625" style="87" customWidth="1"/>
    <col min="9" max="9" width="11.140625" style="87" customWidth="1"/>
    <col min="10" max="10" width="9.140625" style="87"/>
    <col min="11" max="11" width="11.7109375" style="87" customWidth="1"/>
    <col min="12" max="16384" width="9.140625" style="87"/>
  </cols>
  <sheetData>
    <row r="1" spans="1:11" ht="15" x14ac:dyDescent="0.2">
      <c r="A1" s="243" t="s">
        <v>191</v>
      </c>
      <c r="B1" s="243"/>
      <c r="C1" s="243"/>
      <c r="D1" s="243"/>
      <c r="E1" s="243"/>
      <c r="F1" s="243"/>
      <c r="G1" s="243"/>
      <c r="H1" s="243"/>
      <c r="I1" s="243"/>
    </row>
    <row r="2" spans="1:11" ht="15" x14ac:dyDescent="0.2">
      <c r="A2" s="244" t="s">
        <v>192</v>
      </c>
      <c r="B2" s="244"/>
      <c r="C2" s="244"/>
      <c r="D2" s="244"/>
      <c r="E2" s="244"/>
      <c r="F2" s="244"/>
      <c r="G2" s="244"/>
      <c r="H2" s="244"/>
      <c r="I2" s="244"/>
    </row>
    <row r="3" spans="1:11" s="89" customFormat="1" ht="19.5" x14ac:dyDescent="0.4">
      <c r="A3" s="88" t="s">
        <v>115</v>
      </c>
    </row>
    <row r="4" spans="1:11" ht="15" customHeight="1" x14ac:dyDescent="0.2">
      <c r="A4" s="90"/>
    </row>
    <row r="5" spans="1:11" ht="14.25" customHeight="1" thickBot="1" x14ac:dyDescent="0.25">
      <c r="A5" s="91" t="s">
        <v>4</v>
      </c>
      <c r="B5" s="253" t="s">
        <v>197</v>
      </c>
      <c r="C5" s="253"/>
      <c r="D5" s="253"/>
      <c r="F5" s="251" t="s">
        <v>123</v>
      </c>
      <c r="G5" s="251"/>
      <c r="H5" s="251"/>
      <c r="I5" s="251"/>
      <c r="K5" s="92"/>
    </row>
    <row r="6" spans="1:11" ht="15" customHeight="1" x14ac:dyDescent="0.2">
      <c r="A6" s="93" t="s">
        <v>41</v>
      </c>
      <c r="B6" s="234">
        <v>42517</v>
      </c>
      <c r="C6" s="235"/>
      <c r="D6" s="235"/>
      <c r="E6" s="94"/>
      <c r="G6" s="95" t="s">
        <v>118</v>
      </c>
      <c r="H6" s="96"/>
      <c r="I6" s="95" t="s">
        <v>120</v>
      </c>
    </row>
    <row r="7" spans="1:11" ht="15" customHeight="1" x14ac:dyDescent="0.2">
      <c r="A7" s="97" t="s">
        <v>40</v>
      </c>
      <c r="B7" s="236" t="s">
        <v>251</v>
      </c>
      <c r="C7" s="237"/>
      <c r="D7" s="237"/>
      <c r="E7" s="89"/>
      <c r="G7" s="98" t="s">
        <v>119</v>
      </c>
      <c r="I7" s="98" t="s">
        <v>119</v>
      </c>
    </row>
    <row r="8" spans="1:11" ht="15" customHeight="1" thickBot="1" x14ac:dyDescent="0.25">
      <c r="A8" s="97" t="s">
        <v>1</v>
      </c>
      <c r="B8" s="237" t="s">
        <v>252</v>
      </c>
      <c r="C8" s="237"/>
      <c r="D8" s="237"/>
      <c r="E8" s="89"/>
      <c r="F8" s="99" t="s">
        <v>124</v>
      </c>
      <c r="G8" s="100">
        <f>CON_Target_2014_2015</f>
        <v>70956</v>
      </c>
      <c r="H8" s="99" t="s">
        <v>125</v>
      </c>
      <c r="I8" s="101">
        <f>CON_Target_2016_2017</f>
        <v>81993</v>
      </c>
    </row>
    <row r="9" spans="1:11" ht="15" customHeight="1" x14ac:dyDescent="0.2">
      <c r="A9" s="97" t="s">
        <v>2</v>
      </c>
      <c r="B9" s="238" t="s">
        <v>253</v>
      </c>
      <c r="C9" s="239"/>
      <c r="D9" s="239"/>
      <c r="E9" s="89"/>
      <c r="F9" s="99" t="s">
        <v>3</v>
      </c>
      <c r="G9" s="102">
        <f>CON_2014_MWH+CON_2015_MWH</f>
        <v>127936</v>
      </c>
    </row>
    <row r="10" spans="1:11" ht="15" customHeight="1" thickBot="1" x14ac:dyDescent="0.25">
      <c r="A10" s="97"/>
      <c r="B10" s="103"/>
      <c r="C10" s="89"/>
      <c r="D10" s="89"/>
      <c r="E10" s="89"/>
      <c r="F10" s="99" t="s">
        <v>194</v>
      </c>
      <c r="G10" s="104">
        <f>G9-G8</f>
        <v>56980</v>
      </c>
    </row>
    <row r="11" spans="1:11" s="89" customFormat="1" ht="13.5" thickBot="1" x14ac:dyDescent="0.25">
      <c r="A11" s="252" t="s">
        <v>33</v>
      </c>
      <c r="B11" s="252"/>
      <c r="C11" s="252"/>
      <c r="D11" s="252"/>
      <c r="E11" s="105"/>
      <c r="H11" s="87"/>
      <c r="I11" s="87"/>
    </row>
    <row r="12" spans="1:11" s="89" customFormat="1" x14ac:dyDescent="0.2">
      <c r="A12" s="246" t="s">
        <v>35</v>
      </c>
      <c r="B12" s="246"/>
      <c r="C12" s="250" t="s">
        <v>116</v>
      </c>
      <c r="D12" s="246"/>
      <c r="F12" s="87"/>
      <c r="G12" s="87"/>
      <c r="H12" s="87"/>
      <c r="I12" s="87"/>
    </row>
    <row r="13" spans="1:11" ht="38.25" x14ac:dyDescent="0.2">
      <c r="A13" s="106" t="s">
        <v>37</v>
      </c>
      <c r="B13" s="107" t="s">
        <v>36</v>
      </c>
      <c r="C13" s="107" t="s">
        <v>121</v>
      </c>
      <c r="D13" s="107" t="s">
        <v>122</v>
      </c>
    </row>
    <row r="14" spans="1:11" ht="15" customHeight="1" x14ac:dyDescent="0.2">
      <c r="A14" s="78">
        <v>354780</v>
      </c>
      <c r="B14" s="79">
        <v>70956</v>
      </c>
      <c r="C14" s="78">
        <v>409968</v>
      </c>
      <c r="D14" s="79">
        <v>81993</v>
      </c>
    </row>
    <row r="15" spans="1:11" ht="15" customHeight="1" thickBot="1" x14ac:dyDescent="0.25">
      <c r="A15" s="89"/>
      <c r="B15" s="89"/>
      <c r="C15" s="89"/>
      <c r="D15" s="89"/>
      <c r="E15" s="89"/>
      <c r="F15" s="89"/>
      <c r="G15" s="89"/>
    </row>
    <row r="16" spans="1:11" ht="13.5" thickTop="1" x14ac:dyDescent="0.2">
      <c r="A16" s="247" t="s">
        <v>3</v>
      </c>
      <c r="B16" s="247"/>
      <c r="C16" s="247"/>
      <c r="D16" s="247"/>
      <c r="E16" s="247"/>
      <c r="F16" s="247"/>
      <c r="G16" s="247"/>
    </row>
    <row r="17" spans="1:7" ht="15" customHeight="1" x14ac:dyDescent="0.2">
      <c r="A17" s="108"/>
      <c r="C17" s="246" t="s">
        <v>74</v>
      </c>
      <c r="D17" s="246"/>
      <c r="F17" s="246" t="s">
        <v>117</v>
      </c>
      <c r="G17" s="246"/>
    </row>
    <row r="18" spans="1:7" ht="30.75" customHeight="1" x14ac:dyDescent="0.2">
      <c r="B18" s="109" t="s">
        <v>24</v>
      </c>
      <c r="C18" s="110" t="s">
        <v>7</v>
      </c>
      <c r="D18" s="110" t="s">
        <v>8</v>
      </c>
      <c r="F18" s="110" t="s">
        <v>7</v>
      </c>
      <c r="G18" s="110" t="s">
        <v>8</v>
      </c>
    </row>
    <row r="19" spans="1:7" ht="15" customHeight="1" x14ac:dyDescent="0.2">
      <c r="B19" s="15" t="s">
        <v>9</v>
      </c>
      <c r="C19" s="80">
        <v>13233</v>
      </c>
      <c r="D19" s="81">
        <v>5646536</v>
      </c>
      <c r="F19" s="80">
        <v>12923</v>
      </c>
      <c r="G19" s="81">
        <v>6761325</v>
      </c>
    </row>
    <row r="20" spans="1:7" ht="15" customHeight="1" x14ac:dyDescent="0.2">
      <c r="B20" s="15" t="s">
        <v>10</v>
      </c>
      <c r="C20" s="80">
        <v>19510</v>
      </c>
      <c r="D20" s="81">
        <v>4113425</v>
      </c>
      <c r="F20" s="80">
        <v>22614</v>
      </c>
      <c r="G20" s="81">
        <v>4197059</v>
      </c>
    </row>
    <row r="21" spans="1:7" ht="15" customHeight="1" x14ac:dyDescent="0.2">
      <c r="B21" s="15" t="s">
        <v>11</v>
      </c>
      <c r="C21" s="80">
        <v>6161</v>
      </c>
      <c r="D21" s="81">
        <v>1298976</v>
      </c>
      <c r="F21" s="80">
        <v>7141</v>
      </c>
      <c r="G21" s="81">
        <v>1325387</v>
      </c>
    </row>
    <row r="22" spans="1:7" ht="15" customHeight="1" x14ac:dyDescent="0.2">
      <c r="B22" s="15" t="s">
        <v>12</v>
      </c>
      <c r="C22" s="80"/>
      <c r="D22" s="81"/>
      <c r="F22" s="80"/>
      <c r="G22" s="81"/>
    </row>
    <row r="23" spans="1:7" ht="15" customHeight="1" x14ac:dyDescent="0.2">
      <c r="B23" s="15" t="s">
        <v>20</v>
      </c>
      <c r="C23" s="80"/>
      <c r="D23" s="81"/>
      <c r="F23" s="80"/>
      <c r="G23" s="81"/>
    </row>
    <row r="24" spans="1:7" ht="15" customHeight="1" x14ac:dyDescent="0.2">
      <c r="B24" s="111" t="s">
        <v>21</v>
      </c>
      <c r="C24" s="80"/>
      <c r="D24" s="81"/>
      <c r="F24" s="80"/>
      <c r="G24" s="81"/>
    </row>
    <row r="25" spans="1:7" ht="15" customHeight="1" x14ac:dyDescent="0.2">
      <c r="B25" s="111" t="s">
        <v>5</v>
      </c>
      <c r="C25" s="82">
        <v>22895</v>
      </c>
      <c r="D25" s="81">
        <v>363812</v>
      </c>
      <c r="F25" s="82">
        <v>23459</v>
      </c>
      <c r="G25" s="81">
        <v>395400</v>
      </c>
    </row>
    <row r="26" spans="1:7" ht="15" customHeight="1" x14ac:dyDescent="0.2">
      <c r="B26" s="83"/>
      <c r="C26" s="82"/>
      <c r="D26" s="81"/>
      <c r="F26" s="82"/>
      <c r="G26" s="81"/>
    </row>
    <row r="27" spans="1:7" ht="15" customHeight="1" x14ac:dyDescent="0.2">
      <c r="B27" s="83"/>
      <c r="C27" s="82"/>
      <c r="D27" s="81"/>
      <c r="F27" s="82"/>
      <c r="G27" s="81"/>
    </row>
    <row r="28" spans="1:7" ht="30.75" customHeight="1" x14ac:dyDescent="0.2">
      <c r="A28" s="248" t="s">
        <v>34</v>
      </c>
      <c r="B28" s="249"/>
      <c r="D28" s="112"/>
      <c r="G28" s="112"/>
    </row>
    <row r="29" spans="1:7" ht="15" customHeight="1" x14ac:dyDescent="0.2">
      <c r="B29" s="84"/>
      <c r="C29" s="113"/>
      <c r="D29" s="81">
        <v>1440985</v>
      </c>
      <c r="F29" s="113"/>
      <c r="G29" s="81">
        <v>1267632</v>
      </c>
    </row>
    <row r="30" spans="1:7" ht="15" customHeight="1" x14ac:dyDescent="0.2">
      <c r="B30" s="84"/>
      <c r="C30" s="114"/>
      <c r="D30" s="81"/>
      <c r="F30" s="114"/>
      <c r="G30" s="81"/>
    </row>
    <row r="31" spans="1:7" ht="15" customHeight="1" x14ac:dyDescent="0.2">
      <c r="B31" s="115" t="s">
        <v>6</v>
      </c>
      <c r="C31" s="116">
        <f>SUM(C19:C27)</f>
        <v>61799</v>
      </c>
      <c r="D31" s="117">
        <f>SUM(D19:D30)</f>
        <v>12863734</v>
      </c>
      <c r="F31" s="116">
        <f>SUM(F19:F27)</f>
        <v>66137</v>
      </c>
      <c r="G31" s="117">
        <f>SUM(G19:G30)</f>
        <v>13946803</v>
      </c>
    </row>
    <row r="32" spans="1:7" ht="15" customHeight="1" x14ac:dyDescent="0.2">
      <c r="A32" s="118"/>
      <c r="B32" s="119"/>
      <c r="C32" s="120"/>
      <c r="D32" s="119"/>
      <c r="E32" s="120"/>
    </row>
    <row r="33" spans="1:9" s="89" customFormat="1" ht="15" customHeight="1" x14ac:dyDescent="0.2">
      <c r="A33" s="91" t="s">
        <v>4</v>
      </c>
      <c r="B33" s="245" t="str">
        <f>CON_Utility_Name</f>
        <v>Tacoma Power</v>
      </c>
      <c r="C33" s="245"/>
      <c r="D33" s="245"/>
      <c r="E33" s="245"/>
      <c r="F33" s="87"/>
      <c r="G33" s="87"/>
    </row>
    <row r="34" spans="1:9" s="89" customFormat="1" x14ac:dyDescent="0.2">
      <c r="A34" s="121" t="s">
        <v>13</v>
      </c>
      <c r="B34" s="241">
        <v>2016</v>
      </c>
      <c r="C34" s="241"/>
      <c r="D34" s="241"/>
      <c r="E34" s="241"/>
    </row>
    <row r="35" spans="1:9" s="89" customFormat="1" x14ac:dyDescent="0.2">
      <c r="A35" s="121"/>
      <c r="B35" s="122"/>
      <c r="C35" s="122"/>
      <c r="D35" s="122"/>
      <c r="E35" s="122"/>
    </row>
    <row r="36" spans="1:9" ht="28.5" customHeight="1" x14ac:dyDescent="0.2">
      <c r="A36" s="240" t="s">
        <v>190</v>
      </c>
      <c r="B36" s="240"/>
      <c r="C36" s="240"/>
      <c r="D36" s="240"/>
      <c r="E36" s="240"/>
      <c r="F36" s="240"/>
      <c r="G36" s="240"/>
      <c r="H36" s="240"/>
      <c r="I36" s="240"/>
    </row>
    <row r="37" spans="1:9" s="76" customFormat="1" ht="270.75" customHeight="1" x14ac:dyDescent="0.2">
      <c r="A37" s="242"/>
      <c r="B37" s="242"/>
      <c r="C37" s="242"/>
      <c r="D37" s="242"/>
      <c r="E37" s="242"/>
      <c r="F37" s="242"/>
      <c r="G37" s="242"/>
      <c r="H37" s="242"/>
      <c r="I37" s="242"/>
    </row>
    <row r="38" spans="1:9" s="76" customFormat="1" x14ac:dyDescent="0.2"/>
    <row r="39" spans="1:9" s="76" customFormat="1" x14ac:dyDescent="0.2"/>
    <row r="40" spans="1:9" s="76" customFormat="1" x14ac:dyDescent="0.2"/>
    <row r="41" spans="1:9" s="76" customFormat="1" x14ac:dyDescent="0.2"/>
    <row r="42" spans="1:9" s="76" customFormat="1" x14ac:dyDescent="0.2"/>
    <row r="43" spans="1:9" s="76" customFormat="1" x14ac:dyDescent="0.2"/>
    <row r="44" spans="1:9" s="76" customFormat="1" x14ac:dyDescent="0.2"/>
    <row r="45" spans="1:9" s="76" customFormat="1" x14ac:dyDescent="0.2"/>
    <row r="46" spans="1:9" s="76" customFormat="1" x14ac:dyDescent="0.2"/>
    <row r="47" spans="1:9" s="76" customFormat="1" x14ac:dyDescent="0.2"/>
    <row r="48" spans="1:9" s="76" customFormat="1" x14ac:dyDescent="0.2"/>
    <row r="49" s="76" customFormat="1" x14ac:dyDescent="0.2"/>
    <row r="50" s="76" customFormat="1" x14ac:dyDescent="0.2"/>
    <row r="51" s="76" customFormat="1" x14ac:dyDescent="0.2"/>
    <row r="52" s="76" customFormat="1" x14ac:dyDescent="0.2"/>
    <row r="53" s="76" customFormat="1" x14ac:dyDescent="0.2"/>
    <row r="54" s="76" customFormat="1" x14ac:dyDescent="0.2"/>
    <row r="55" s="76" customFormat="1" x14ac:dyDescent="0.2"/>
    <row r="56" s="76" customFormat="1" x14ac:dyDescent="0.2"/>
  </sheetData>
  <mergeCells count="20">
    <mergeCell ref="A37:I37"/>
    <mergeCell ref="A1:I1"/>
    <mergeCell ref="A2:I2"/>
    <mergeCell ref="B33:E33"/>
    <mergeCell ref="A12:B12"/>
    <mergeCell ref="F16:G16"/>
    <mergeCell ref="A16:E16"/>
    <mergeCell ref="A28:B28"/>
    <mergeCell ref="C17:D17"/>
    <mergeCell ref="C12:D12"/>
    <mergeCell ref="F17:G17"/>
    <mergeCell ref="F5:I5"/>
    <mergeCell ref="A11:D11"/>
    <mergeCell ref="B5:D5"/>
    <mergeCell ref="B6:D6"/>
    <mergeCell ref="B7:D7"/>
    <mergeCell ref="B8:D8"/>
    <mergeCell ref="B9:D9"/>
    <mergeCell ref="A36:I36"/>
    <mergeCell ref="B34:E34"/>
  </mergeCells>
  <hyperlinks>
    <hyperlink ref="B9" r:id="rId1"/>
  </hyperlinks>
  <pageMargins left="0.7" right="0.7" top="0.75" bottom="0.75" header="0.3" footer="0.3"/>
  <pageSetup scale="98" fitToHeight="0" orientation="landscape" r:id="rId2"/>
  <rowBreaks count="1" manualBreakCount="1">
    <brk id="31"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pageSetUpPr fitToPage="1"/>
  </sheetPr>
  <dimension ref="A1:AG115"/>
  <sheetViews>
    <sheetView showGridLines="0" topLeftCell="A73" zoomScaleNormal="100" zoomScaleSheetLayoutView="100" workbookViewId="0">
      <selection activeCell="M15" sqref="M15"/>
    </sheetView>
  </sheetViews>
  <sheetFormatPr defaultColWidth="9.140625" defaultRowHeight="12.75" x14ac:dyDescent="0.2"/>
  <cols>
    <col min="1" max="1" width="32.85546875" style="1" customWidth="1"/>
    <col min="2" max="2" width="11.7109375" style="1" customWidth="1"/>
    <col min="3" max="3" width="10.28515625" style="1" customWidth="1"/>
    <col min="4" max="12" width="10.7109375" style="1" customWidth="1"/>
    <col min="13" max="13" width="13.140625" style="1" customWidth="1"/>
    <col min="14" max="14" width="10.7109375" style="1" customWidth="1"/>
    <col min="15" max="15" width="10.5703125" style="1" customWidth="1"/>
    <col min="16" max="16" width="10.7109375" style="1" customWidth="1"/>
    <col min="17" max="16384" width="9.140625" style="1"/>
  </cols>
  <sheetData>
    <row r="1" spans="1:33" ht="15" customHeight="1" x14ac:dyDescent="0.2">
      <c r="A1" s="283" t="s">
        <v>191</v>
      </c>
      <c r="B1" s="283"/>
      <c r="C1" s="283"/>
      <c r="D1" s="283"/>
      <c r="E1" s="283"/>
      <c r="F1" s="283"/>
      <c r="G1" s="283"/>
      <c r="H1" s="283"/>
      <c r="I1" s="283"/>
      <c r="J1" s="283"/>
      <c r="K1" s="283"/>
      <c r="L1" s="283"/>
      <c r="M1" s="283"/>
      <c r="N1" s="283"/>
    </row>
    <row r="2" spans="1:33" ht="15" customHeight="1" x14ac:dyDescent="0.2">
      <c r="A2" s="284" t="s">
        <v>192</v>
      </c>
      <c r="B2" s="284"/>
      <c r="C2" s="284"/>
      <c r="D2" s="284"/>
      <c r="E2" s="284"/>
      <c r="F2" s="284"/>
      <c r="G2" s="284"/>
      <c r="H2" s="284"/>
      <c r="I2" s="284"/>
      <c r="J2" s="284"/>
      <c r="K2" s="284"/>
      <c r="L2" s="284"/>
      <c r="M2" s="284"/>
      <c r="N2" s="284"/>
    </row>
    <row r="3" spans="1:33" s="7" customFormat="1" ht="19.5" x14ac:dyDescent="0.4">
      <c r="A3" s="26" t="s">
        <v>126</v>
      </c>
      <c r="B3" s="26"/>
      <c r="C3" s="26"/>
      <c r="AB3" s="24" t="s">
        <v>27</v>
      </c>
      <c r="AG3" s="21"/>
    </row>
    <row r="4" spans="1:33" ht="14.25" x14ac:dyDescent="0.2">
      <c r="A4" s="46"/>
      <c r="B4" s="46"/>
      <c r="C4" s="46"/>
      <c r="H4" s="269" t="s">
        <v>26</v>
      </c>
      <c r="I4" s="270"/>
      <c r="J4" s="270"/>
      <c r="K4" s="270"/>
      <c r="L4" s="270"/>
      <c r="M4" s="271"/>
      <c r="AB4" s="25" t="s">
        <v>28</v>
      </c>
      <c r="AG4" s="19"/>
    </row>
    <row r="5" spans="1:33" ht="15" customHeight="1" x14ac:dyDescent="0.2">
      <c r="A5" s="3" t="s">
        <v>4</v>
      </c>
      <c r="B5" s="253" t="s">
        <v>197</v>
      </c>
      <c r="C5" s="253"/>
      <c r="D5" s="253"/>
      <c r="H5" s="29"/>
      <c r="I5" s="7"/>
      <c r="J5" s="7"/>
      <c r="K5" s="7"/>
      <c r="L5" s="28" t="s">
        <v>99</v>
      </c>
      <c r="M5" s="226">
        <v>4729936</v>
      </c>
      <c r="AB5" s="25" t="s">
        <v>29</v>
      </c>
      <c r="AG5" s="19"/>
    </row>
    <row r="6" spans="1:33" ht="15" customHeight="1" thickBot="1" x14ac:dyDescent="0.25">
      <c r="A6" s="4" t="s">
        <v>41</v>
      </c>
      <c r="B6" s="235">
        <v>42517</v>
      </c>
      <c r="C6" s="235"/>
      <c r="D6" s="235"/>
      <c r="H6" s="29"/>
      <c r="I6" s="7"/>
      <c r="J6" s="7"/>
      <c r="K6" s="7"/>
      <c r="L6" s="28" t="s">
        <v>131</v>
      </c>
      <c r="M6" s="226">
        <v>4587347</v>
      </c>
      <c r="AB6" s="25" t="s">
        <v>30</v>
      </c>
      <c r="AG6" s="20"/>
    </row>
    <row r="7" spans="1:33" ht="15" customHeight="1" x14ac:dyDescent="0.2">
      <c r="A7" s="5" t="s">
        <v>0</v>
      </c>
      <c r="B7" s="237" t="s">
        <v>198</v>
      </c>
      <c r="C7" s="237"/>
      <c r="D7" s="237"/>
      <c r="H7" s="29"/>
      <c r="I7" s="7"/>
      <c r="J7" s="7"/>
      <c r="K7" s="7"/>
      <c r="L7" s="28" t="s">
        <v>201</v>
      </c>
      <c r="M7" s="212">
        <f>IF(REN_Load_2015+REN_Load_2014&gt;0,AVERAGE(REN_Load_2015,REN_Load_2014),0)</f>
        <v>4658641.5</v>
      </c>
    </row>
    <row r="8" spans="1:33" ht="15" customHeight="1" x14ac:dyDescent="0.2">
      <c r="A8" s="5" t="s">
        <v>1</v>
      </c>
      <c r="B8" s="237" t="s">
        <v>199</v>
      </c>
      <c r="C8" s="237"/>
      <c r="D8" s="237"/>
      <c r="H8" s="29"/>
      <c r="I8" s="7"/>
      <c r="J8" s="7"/>
      <c r="K8" s="7"/>
      <c r="L8" s="28" t="s">
        <v>132</v>
      </c>
      <c r="M8" s="174">
        <v>0.09</v>
      </c>
    </row>
    <row r="9" spans="1:33" ht="15" customHeight="1" x14ac:dyDescent="0.2">
      <c r="A9" s="5" t="s">
        <v>2</v>
      </c>
      <c r="B9" s="238" t="s">
        <v>200</v>
      </c>
      <c r="C9" s="239"/>
      <c r="D9" s="239"/>
      <c r="H9" s="33"/>
      <c r="I9" s="7"/>
      <c r="J9" s="7"/>
      <c r="K9" s="7"/>
      <c r="L9" s="28" t="s">
        <v>140</v>
      </c>
      <c r="M9" s="212">
        <f>ROUND(M7*M8,0)</f>
        <v>419278</v>
      </c>
    </row>
    <row r="10" spans="1:33" ht="15" customHeight="1" x14ac:dyDescent="0.2">
      <c r="A10" s="5"/>
      <c r="B10" s="5"/>
      <c r="C10" s="5"/>
      <c r="D10" s="18"/>
      <c r="H10" s="30"/>
      <c r="I10" s="31"/>
      <c r="J10" s="31"/>
      <c r="K10" s="31"/>
      <c r="L10" s="32" t="s">
        <v>133</v>
      </c>
      <c r="M10" s="224">
        <f>SUM(C20:N20)</f>
        <v>561524.6</v>
      </c>
    </row>
    <row r="11" spans="1:33" ht="15" customHeight="1" x14ac:dyDescent="0.2">
      <c r="A11" s="3" t="s">
        <v>127</v>
      </c>
      <c r="B11" s="42"/>
      <c r="C11" s="42"/>
    </row>
    <row r="12" spans="1:33" ht="15" customHeight="1" x14ac:dyDescent="0.2">
      <c r="B12" s="46"/>
      <c r="C12" s="46"/>
      <c r="F12" s="272" t="s">
        <v>138</v>
      </c>
      <c r="G12" s="273"/>
      <c r="H12" s="273"/>
      <c r="I12" s="273"/>
      <c r="J12" s="273"/>
      <c r="K12" s="273"/>
      <c r="L12" s="273"/>
      <c r="M12" s="274"/>
    </row>
    <row r="13" spans="1:33" s="22" customFormat="1" ht="14.25" customHeight="1" x14ac:dyDescent="0.25">
      <c r="A13" s="1"/>
      <c r="B13" s="23"/>
      <c r="C13" s="23"/>
      <c r="F13" s="29" t="s">
        <v>72</v>
      </c>
      <c r="G13" s="36"/>
      <c r="H13" s="36"/>
      <c r="I13" s="36"/>
      <c r="J13" s="36"/>
      <c r="K13" s="36"/>
      <c r="L13" s="7"/>
      <c r="M13" s="44">
        <f>'Renewable Cost Report'!K29+'Renewable Cost Report'!E61</f>
        <v>3778012</v>
      </c>
    </row>
    <row r="14" spans="1:33" x14ac:dyDescent="0.2">
      <c r="B14" s="46"/>
      <c r="C14" s="46"/>
      <c r="F14" s="29" t="s">
        <v>139</v>
      </c>
      <c r="G14" s="34"/>
      <c r="H14" s="34"/>
      <c r="I14" s="34"/>
      <c r="J14" s="34"/>
      <c r="K14" s="7"/>
      <c r="L14" s="7"/>
      <c r="M14" s="225">
        <f>330256038</f>
        <v>330256038</v>
      </c>
    </row>
    <row r="15" spans="1:33" x14ac:dyDescent="0.2">
      <c r="F15" s="37" t="s">
        <v>73</v>
      </c>
      <c r="G15" s="35"/>
      <c r="H15" s="35"/>
      <c r="I15" s="35"/>
      <c r="J15" s="35"/>
      <c r="K15" s="31"/>
      <c r="L15" s="31"/>
      <c r="M15" s="45">
        <f>IF(REN_RetailRevenueRequirement_2016&gt;0,REN_Expenditure_Amount_2016/REN_RetailRevenueRequirement_2016,"")</f>
        <v>1.1439645503165638E-2</v>
      </c>
    </row>
    <row r="16" spans="1:33" ht="17.45" customHeight="1" x14ac:dyDescent="0.2">
      <c r="H16" s="282"/>
      <c r="I16" s="282"/>
      <c r="J16" s="282"/>
      <c r="K16" s="282"/>
      <c r="L16" s="282"/>
      <c r="M16" s="16"/>
      <c r="N16" s="11"/>
      <c r="O16" s="11"/>
    </row>
    <row r="17" spans="1:33" ht="36" customHeight="1" x14ac:dyDescent="0.2">
      <c r="A17" s="9"/>
      <c r="C17" s="52" t="s">
        <v>14</v>
      </c>
      <c r="D17" s="53" t="s">
        <v>15</v>
      </c>
      <c r="E17" s="53" t="s">
        <v>172</v>
      </c>
      <c r="F17" s="53" t="s">
        <v>173</v>
      </c>
      <c r="G17" s="53" t="s">
        <v>16</v>
      </c>
      <c r="H17" s="53" t="s">
        <v>23</v>
      </c>
      <c r="I17" s="53" t="s">
        <v>17</v>
      </c>
      <c r="J17" s="53" t="s">
        <v>171</v>
      </c>
      <c r="K17" s="53" t="s">
        <v>175</v>
      </c>
      <c r="L17" s="60" t="s">
        <v>176</v>
      </c>
      <c r="M17" s="52" t="s">
        <v>184</v>
      </c>
      <c r="N17" s="54" t="s">
        <v>185</v>
      </c>
      <c r="O17" s="11"/>
    </row>
    <row r="18" spans="1:33" ht="15" customHeight="1" x14ac:dyDescent="0.2">
      <c r="B18" s="4" t="s">
        <v>25</v>
      </c>
      <c r="C18" s="55">
        <f t="shared" ref="C18:L18" si="0">SUMIF($C40:$C59,C$17,$E40:$E59)</f>
        <v>64391</v>
      </c>
      <c r="D18" s="49">
        <f t="shared" si="0"/>
        <v>0</v>
      </c>
      <c r="E18" s="49">
        <f t="shared" si="0"/>
        <v>0</v>
      </c>
      <c r="F18" s="49">
        <f t="shared" si="0"/>
        <v>0</v>
      </c>
      <c r="G18" s="49">
        <f t="shared" si="0"/>
        <v>0</v>
      </c>
      <c r="H18" s="49">
        <f t="shared" si="0"/>
        <v>0</v>
      </c>
      <c r="I18" s="49">
        <f t="shared" si="0"/>
        <v>0</v>
      </c>
      <c r="J18" s="49">
        <f t="shared" si="0"/>
        <v>0</v>
      </c>
      <c r="K18" s="49">
        <f t="shared" si="0"/>
        <v>0</v>
      </c>
      <c r="L18" s="61">
        <f t="shared" si="0"/>
        <v>0</v>
      </c>
      <c r="M18" s="55">
        <f>SUM(F40:F59)</f>
        <v>11367.6</v>
      </c>
      <c r="N18" s="56"/>
      <c r="O18" s="75"/>
    </row>
    <row r="19" spans="1:33" ht="16.5" customHeight="1" x14ac:dyDescent="0.2">
      <c r="B19" s="4" t="s">
        <v>18</v>
      </c>
      <c r="C19" s="57"/>
      <c r="D19" s="50">
        <f t="shared" ref="D19:L19" si="1">SUMIF($D66:$D90,D$17,$G66:$G90)</f>
        <v>435766</v>
      </c>
      <c r="E19" s="50">
        <f t="shared" si="1"/>
        <v>0</v>
      </c>
      <c r="F19" s="50">
        <f t="shared" si="1"/>
        <v>0</v>
      </c>
      <c r="G19" s="50">
        <f t="shared" si="1"/>
        <v>0</v>
      </c>
      <c r="H19" s="50">
        <f t="shared" si="1"/>
        <v>0</v>
      </c>
      <c r="I19" s="50">
        <f t="shared" si="1"/>
        <v>0</v>
      </c>
      <c r="J19" s="50">
        <f t="shared" si="1"/>
        <v>0</v>
      </c>
      <c r="K19" s="50">
        <f t="shared" si="1"/>
        <v>50000</v>
      </c>
      <c r="L19" s="62">
        <f t="shared" si="1"/>
        <v>0</v>
      </c>
      <c r="M19" s="64">
        <f>SUM(H66:H90)</f>
        <v>0</v>
      </c>
      <c r="N19" s="58">
        <f>SUM(I66:I90)</f>
        <v>0</v>
      </c>
      <c r="O19" s="11"/>
    </row>
    <row r="20" spans="1:33" ht="16.5" customHeight="1" x14ac:dyDescent="0.2">
      <c r="B20" s="5" t="s">
        <v>130</v>
      </c>
      <c r="C20" s="59">
        <f>C18</f>
        <v>64391</v>
      </c>
      <c r="D20" s="51">
        <f t="shared" ref="D20:K20" si="2">D18+D19</f>
        <v>435766</v>
      </c>
      <c r="E20" s="51">
        <f t="shared" si="2"/>
        <v>0</v>
      </c>
      <c r="F20" s="51">
        <f t="shared" si="2"/>
        <v>0</v>
      </c>
      <c r="G20" s="51">
        <f t="shared" si="2"/>
        <v>0</v>
      </c>
      <c r="H20" s="51">
        <f t="shared" si="2"/>
        <v>0</v>
      </c>
      <c r="I20" s="51">
        <f t="shared" si="2"/>
        <v>0</v>
      </c>
      <c r="J20" s="51">
        <f t="shared" si="2"/>
        <v>0</v>
      </c>
      <c r="K20" s="51">
        <f t="shared" si="2"/>
        <v>50000</v>
      </c>
      <c r="L20" s="63"/>
      <c r="M20" s="59">
        <f>M18+M19</f>
        <v>11367.6</v>
      </c>
      <c r="N20" s="58">
        <f>N19</f>
        <v>0</v>
      </c>
      <c r="O20" s="11"/>
    </row>
    <row r="21" spans="1:33" ht="16.5" customHeight="1" x14ac:dyDescent="0.2">
      <c r="K21" s="7"/>
      <c r="L21" s="4"/>
      <c r="M21" s="17"/>
      <c r="N21" s="11"/>
      <c r="O21" s="11"/>
    </row>
    <row r="22" spans="1:33" ht="21.75" customHeight="1" x14ac:dyDescent="0.2">
      <c r="K22" s="7"/>
      <c r="L22" s="4"/>
      <c r="M22" s="17"/>
      <c r="N22" s="11"/>
      <c r="O22" s="11"/>
    </row>
    <row r="23" spans="1:33" ht="15" customHeight="1" x14ac:dyDescent="0.2">
      <c r="A23" s="28"/>
      <c r="B23" s="28"/>
      <c r="C23" s="28"/>
      <c r="D23" s="28"/>
      <c r="E23" s="28"/>
      <c r="F23" s="28"/>
      <c r="H23" s="7"/>
      <c r="I23" s="7"/>
      <c r="J23" s="7"/>
      <c r="K23" s="7"/>
      <c r="L23" s="4"/>
      <c r="M23" s="17"/>
      <c r="N23" s="11"/>
      <c r="O23" s="11"/>
    </row>
    <row r="24" spans="1:33" ht="15" customHeight="1" x14ac:dyDescent="0.2"/>
    <row r="25" spans="1:33" s="10" customFormat="1" x14ac:dyDescent="0.2">
      <c r="AG25" s="1"/>
    </row>
    <row r="26" spans="1:33" ht="15" customHeight="1" x14ac:dyDescent="0.2">
      <c r="AG26" s="10"/>
    </row>
    <row r="27" spans="1:33" ht="15" customHeight="1" x14ac:dyDescent="0.2">
      <c r="AG27" s="10"/>
    </row>
    <row r="28" spans="1:33" ht="15" customHeight="1" x14ac:dyDescent="0.2">
      <c r="AG28" s="10"/>
    </row>
    <row r="29" spans="1:33" ht="15" customHeight="1" x14ac:dyDescent="0.2">
      <c r="AG29" s="10"/>
    </row>
    <row r="30" spans="1:33" ht="15" customHeight="1" x14ac:dyDescent="0.2">
      <c r="AG30" s="10"/>
    </row>
    <row r="31" spans="1:33" ht="15" customHeight="1" x14ac:dyDescent="0.2">
      <c r="AG31" s="10"/>
    </row>
    <row r="32" spans="1:33" ht="15" customHeight="1" x14ac:dyDescent="0.2">
      <c r="AG32" s="10"/>
    </row>
    <row r="33" spans="1:33" ht="15" customHeight="1" x14ac:dyDescent="0.2"/>
    <row r="34" spans="1:33" ht="15" customHeight="1" x14ac:dyDescent="0.2"/>
    <row r="35" spans="1:33" ht="15" customHeight="1" x14ac:dyDescent="0.2"/>
    <row r="36" spans="1:33" ht="16.5" customHeight="1" x14ac:dyDescent="0.2">
      <c r="A36" s="260" t="s">
        <v>22</v>
      </c>
      <c r="B36" s="6"/>
      <c r="C36" s="6"/>
      <c r="D36" s="9" t="s">
        <v>4</v>
      </c>
      <c r="E36" s="254" t="str">
        <f>B5</f>
        <v>Tacoma Power</v>
      </c>
      <c r="F36" s="255"/>
      <c r="G36" s="256"/>
    </row>
    <row r="37" spans="1:33" ht="15" customHeight="1" x14ac:dyDescent="0.2">
      <c r="A37" s="260"/>
      <c r="D37" s="9" t="s">
        <v>13</v>
      </c>
      <c r="E37" s="257">
        <v>2016</v>
      </c>
      <c r="F37" s="258"/>
      <c r="G37" s="259"/>
    </row>
    <row r="38" spans="1:33" ht="15" customHeight="1" x14ac:dyDescent="0.2">
      <c r="D38" s="9"/>
      <c r="E38" s="42"/>
      <c r="F38" s="8"/>
      <c r="G38" s="8"/>
    </row>
    <row r="39" spans="1:33" s="10" customFormat="1" ht="52.5" customHeight="1" x14ac:dyDescent="0.2">
      <c r="A39" s="27" t="s">
        <v>19</v>
      </c>
      <c r="B39" s="65" t="s">
        <v>31</v>
      </c>
      <c r="C39" s="47" t="s">
        <v>174</v>
      </c>
      <c r="D39" s="66" t="s">
        <v>177</v>
      </c>
      <c r="E39" s="47" t="s">
        <v>189</v>
      </c>
      <c r="F39" s="47" t="s">
        <v>188</v>
      </c>
      <c r="G39" s="268" t="s">
        <v>183</v>
      </c>
      <c r="H39" s="268"/>
      <c r="I39" s="268"/>
      <c r="J39" s="268"/>
      <c r="K39" s="268"/>
      <c r="L39" s="14"/>
      <c r="M39" s="14"/>
      <c r="N39" s="14"/>
      <c r="AG39" s="7"/>
    </row>
    <row r="40" spans="1:33" ht="15" customHeight="1" x14ac:dyDescent="0.2">
      <c r="A40" s="227" t="s">
        <v>202</v>
      </c>
      <c r="B40" s="123"/>
      <c r="C40" s="206"/>
      <c r="D40" s="80" t="s">
        <v>178</v>
      </c>
      <c r="E40" s="124"/>
      <c r="F40" s="49">
        <f>IF(D40="Yes",0.2*E40,0)</f>
        <v>0</v>
      </c>
      <c r="G40" s="279"/>
      <c r="H40" s="280"/>
      <c r="I40" s="280"/>
      <c r="J40" s="280"/>
      <c r="K40" s="281"/>
      <c r="L40" s="14"/>
      <c r="M40" s="14"/>
      <c r="N40" s="14"/>
    </row>
    <row r="41" spans="1:33" ht="15" customHeight="1" x14ac:dyDescent="0.2">
      <c r="A41" s="228" t="s">
        <v>203</v>
      </c>
      <c r="B41" s="125"/>
      <c r="C41" s="207" t="s">
        <v>14</v>
      </c>
      <c r="D41" s="80" t="s">
        <v>204</v>
      </c>
      <c r="E41" s="126">
        <v>26758</v>
      </c>
      <c r="F41" s="67">
        <f t="shared" ref="F41:F59" si="3">IF(D41="Yes",0.2*E41,0)</f>
        <v>5351.6</v>
      </c>
      <c r="G41" s="265"/>
      <c r="H41" s="266"/>
      <c r="I41" s="266"/>
      <c r="J41" s="266"/>
      <c r="K41" s="267"/>
      <c r="L41" s="14"/>
      <c r="M41" s="14"/>
      <c r="N41" s="14"/>
    </row>
    <row r="42" spans="1:33" ht="15" customHeight="1" x14ac:dyDescent="0.2">
      <c r="A42" s="228" t="s">
        <v>205</v>
      </c>
      <c r="B42" s="125"/>
      <c r="C42" s="207" t="s">
        <v>14</v>
      </c>
      <c r="D42" s="80" t="s">
        <v>204</v>
      </c>
      <c r="E42" s="126">
        <v>18000</v>
      </c>
      <c r="F42" s="67">
        <f t="shared" si="3"/>
        <v>3600</v>
      </c>
      <c r="G42" s="134"/>
      <c r="H42" s="135"/>
      <c r="I42" s="135"/>
      <c r="J42" s="135"/>
      <c r="K42" s="136"/>
      <c r="L42" s="14"/>
      <c r="M42" s="14"/>
      <c r="N42" s="14"/>
    </row>
    <row r="43" spans="1:33" ht="15" customHeight="1" x14ac:dyDescent="0.2">
      <c r="A43" s="229" t="s">
        <v>206</v>
      </c>
      <c r="B43" s="127"/>
      <c r="C43" s="208" t="s">
        <v>14</v>
      </c>
      <c r="D43" s="80" t="s">
        <v>204</v>
      </c>
      <c r="E43" s="126">
        <v>270</v>
      </c>
      <c r="F43" s="67">
        <f t="shared" si="3"/>
        <v>54</v>
      </c>
      <c r="G43" s="265"/>
      <c r="H43" s="266"/>
      <c r="I43" s="266"/>
      <c r="J43" s="266"/>
      <c r="K43" s="267"/>
      <c r="L43" s="14"/>
      <c r="M43" s="14"/>
      <c r="N43" s="14"/>
    </row>
    <row r="44" spans="1:33" ht="15" customHeight="1" x14ac:dyDescent="0.2">
      <c r="A44" s="230" t="s">
        <v>207</v>
      </c>
      <c r="B44" s="128"/>
      <c r="C44" s="209"/>
      <c r="D44" s="80" t="s">
        <v>178</v>
      </c>
      <c r="E44" s="126"/>
      <c r="F44" s="67">
        <f t="shared" si="3"/>
        <v>0</v>
      </c>
      <c r="G44" s="265"/>
      <c r="H44" s="266"/>
      <c r="I44" s="266"/>
      <c r="J44" s="266"/>
      <c r="K44" s="267"/>
      <c r="L44" s="14"/>
      <c r="M44" s="14"/>
      <c r="N44" s="14"/>
    </row>
    <row r="45" spans="1:33" ht="15" customHeight="1" x14ac:dyDescent="0.2">
      <c r="A45" s="231" t="s">
        <v>208</v>
      </c>
      <c r="B45" s="130"/>
      <c r="C45" s="210" t="s">
        <v>14</v>
      </c>
      <c r="D45" s="80" t="s">
        <v>178</v>
      </c>
      <c r="E45" s="126">
        <v>1900</v>
      </c>
      <c r="F45" s="67">
        <f t="shared" si="3"/>
        <v>0</v>
      </c>
      <c r="G45" s="265"/>
      <c r="H45" s="266"/>
      <c r="I45" s="266"/>
      <c r="J45" s="266"/>
      <c r="K45" s="267"/>
      <c r="L45" s="14"/>
      <c r="M45" s="14"/>
      <c r="N45" s="14"/>
    </row>
    <row r="46" spans="1:33" ht="15" customHeight="1" x14ac:dyDescent="0.2">
      <c r="A46" s="232" t="s">
        <v>209</v>
      </c>
      <c r="B46" s="130"/>
      <c r="C46" s="210"/>
      <c r="D46" s="80" t="s">
        <v>178</v>
      </c>
      <c r="E46" s="126"/>
      <c r="F46" s="67">
        <f t="shared" si="3"/>
        <v>0</v>
      </c>
      <c r="G46" s="265"/>
      <c r="H46" s="266"/>
      <c r="I46" s="266"/>
      <c r="J46" s="266"/>
      <c r="K46" s="267"/>
      <c r="L46" s="14"/>
      <c r="M46" s="14"/>
      <c r="N46" s="14"/>
    </row>
    <row r="47" spans="1:33" ht="15" customHeight="1" x14ac:dyDescent="0.2">
      <c r="A47" s="232" t="s">
        <v>210</v>
      </c>
      <c r="B47" s="130"/>
      <c r="C47" s="210" t="s">
        <v>14</v>
      </c>
      <c r="D47" s="80" t="s">
        <v>204</v>
      </c>
      <c r="E47" s="126">
        <v>11500</v>
      </c>
      <c r="F47" s="67">
        <f t="shared" si="3"/>
        <v>2300</v>
      </c>
      <c r="G47" s="265"/>
      <c r="H47" s="266"/>
      <c r="I47" s="266"/>
      <c r="J47" s="266"/>
      <c r="K47" s="267"/>
      <c r="L47" s="14"/>
      <c r="M47" s="14"/>
      <c r="N47" s="14"/>
    </row>
    <row r="48" spans="1:33" ht="15" customHeight="1" x14ac:dyDescent="0.2">
      <c r="A48" s="232" t="s">
        <v>211</v>
      </c>
      <c r="B48" s="130"/>
      <c r="C48" s="210" t="s">
        <v>14</v>
      </c>
      <c r="D48" s="80" t="s">
        <v>204</v>
      </c>
      <c r="E48" s="126">
        <v>8500</v>
      </c>
      <c r="F48" s="67">
        <f t="shared" si="3"/>
        <v>1700</v>
      </c>
      <c r="G48" s="265"/>
      <c r="H48" s="266"/>
      <c r="I48" s="266"/>
      <c r="J48" s="266"/>
      <c r="K48" s="267"/>
      <c r="L48" s="14"/>
      <c r="M48" s="14"/>
      <c r="N48" s="14"/>
    </row>
    <row r="49" spans="1:33" ht="15" customHeight="1" x14ac:dyDescent="0.2">
      <c r="A49" s="232" t="s">
        <v>212</v>
      </c>
      <c r="B49" s="130"/>
      <c r="C49" s="210" t="s">
        <v>14</v>
      </c>
      <c r="D49" s="80" t="s">
        <v>178</v>
      </c>
      <c r="E49" s="126">
        <v>3300</v>
      </c>
      <c r="F49" s="67">
        <f t="shared" si="3"/>
        <v>0</v>
      </c>
      <c r="G49" s="265"/>
      <c r="H49" s="266"/>
      <c r="I49" s="266"/>
      <c r="J49" s="266"/>
      <c r="K49" s="267"/>
      <c r="L49" s="14"/>
      <c r="M49" s="14"/>
      <c r="N49" s="14"/>
    </row>
    <row r="50" spans="1:33" ht="15" customHeight="1" x14ac:dyDescent="0.2">
      <c r="A50" s="232" t="s">
        <v>246</v>
      </c>
      <c r="B50" s="130"/>
      <c r="C50" s="210" t="s">
        <v>14</v>
      </c>
      <c r="D50" s="80" t="s">
        <v>178</v>
      </c>
      <c r="E50" s="126">
        <v>3442</v>
      </c>
      <c r="F50" s="67">
        <f t="shared" si="3"/>
        <v>0</v>
      </c>
      <c r="G50" s="265" t="s">
        <v>213</v>
      </c>
      <c r="H50" s="266"/>
      <c r="I50" s="266"/>
      <c r="J50" s="266"/>
      <c r="K50" s="267"/>
      <c r="L50" s="14"/>
      <c r="M50" s="14"/>
      <c r="N50" s="14"/>
    </row>
    <row r="51" spans="1:33" ht="15" customHeight="1" x14ac:dyDescent="0.2">
      <c r="A51" s="233" t="s">
        <v>247</v>
      </c>
      <c r="B51" s="130"/>
      <c r="C51" s="210" t="s">
        <v>14</v>
      </c>
      <c r="D51" s="80" t="s">
        <v>204</v>
      </c>
      <c r="E51" s="126">
        <v>-9279</v>
      </c>
      <c r="F51" s="67">
        <v>-1638</v>
      </c>
      <c r="G51" s="265" t="s">
        <v>248</v>
      </c>
      <c r="H51" s="266"/>
      <c r="I51" s="266"/>
      <c r="J51" s="266"/>
      <c r="K51" s="267"/>
      <c r="L51" s="14"/>
      <c r="M51" s="14"/>
      <c r="N51" s="14"/>
    </row>
    <row r="52" spans="1:33" ht="15" customHeight="1" x14ac:dyDescent="0.2">
      <c r="A52" s="129"/>
      <c r="B52" s="130"/>
      <c r="C52" s="210"/>
      <c r="D52" s="80" t="s">
        <v>178</v>
      </c>
      <c r="E52" s="126"/>
      <c r="F52" s="67">
        <f t="shared" si="3"/>
        <v>0</v>
      </c>
      <c r="G52" s="265"/>
      <c r="H52" s="266"/>
      <c r="I52" s="266"/>
      <c r="J52" s="266"/>
      <c r="K52" s="267"/>
      <c r="L52" s="14"/>
      <c r="M52" s="14"/>
      <c r="N52" s="14"/>
    </row>
    <row r="53" spans="1:33" ht="15" customHeight="1" x14ac:dyDescent="0.2">
      <c r="A53" s="129"/>
      <c r="B53" s="130"/>
      <c r="C53" s="210"/>
      <c r="D53" s="80" t="s">
        <v>178</v>
      </c>
      <c r="E53" s="126"/>
      <c r="F53" s="67">
        <f t="shared" si="3"/>
        <v>0</v>
      </c>
      <c r="G53" s="265"/>
      <c r="H53" s="266"/>
      <c r="I53" s="266"/>
      <c r="J53" s="266"/>
      <c r="K53" s="267"/>
      <c r="L53" s="14"/>
      <c r="M53" s="14"/>
      <c r="N53" s="14"/>
    </row>
    <row r="54" spans="1:33" ht="15" customHeight="1" x14ac:dyDescent="0.2">
      <c r="A54" s="129"/>
      <c r="B54" s="130"/>
      <c r="C54" s="210"/>
      <c r="D54" s="80" t="s">
        <v>178</v>
      </c>
      <c r="E54" s="126"/>
      <c r="F54" s="67">
        <f t="shared" si="3"/>
        <v>0</v>
      </c>
      <c r="G54" s="265"/>
      <c r="H54" s="266"/>
      <c r="I54" s="266"/>
      <c r="J54" s="266"/>
      <c r="K54" s="267"/>
      <c r="L54" s="14"/>
      <c r="M54" s="14"/>
      <c r="N54" s="14"/>
    </row>
    <row r="55" spans="1:33" ht="15" customHeight="1" x14ac:dyDescent="0.2">
      <c r="A55" s="129"/>
      <c r="B55" s="130"/>
      <c r="C55" s="210"/>
      <c r="D55" s="80" t="s">
        <v>178</v>
      </c>
      <c r="E55" s="126"/>
      <c r="F55" s="67">
        <f t="shared" si="3"/>
        <v>0</v>
      </c>
      <c r="G55" s="265"/>
      <c r="H55" s="266"/>
      <c r="I55" s="266"/>
      <c r="J55" s="266"/>
      <c r="K55" s="267"/>
      <c r="L55" s="14"/>
      <c r="M55" s="14"/>
      <c r="N55" s="14"/>
    </row>
    <row r="56" spans="1:33" ht="15" customHeight="1" x14ac:dyDescent="0.2">
      <c r="A56" s="129"/>
      <c r="B56" s="130"/>
      <c r="C56" s="210"/>
      <c r="D56" s="80" t="s">
        <v>178</v>
      </c>
      <c r="E56" s="126"/>
      <c r="F56" s="67">
        <f t="shared" si="3"/>
        <v>0</v>
      </c>
      <c r="G56" s="265"/>
      <c r="H56" s="266"/>
      <c r="I56" s="266"/>
      <c r="J56" s="266"/>
      <c r="K56" s="267"/>
      <c r="L56" s="14"/>
      <c r="M56" s="14"/>
      <c r="N56" s="14"/>
    </row>
    <row r="57" spans="1:33" ht="15" customHeight="1" x14ac:dyDescent="0.2">
      <c r="A57" s="129"/>
      <c r="B57" s="130"/>
      <c r="C57" s="210"/>
      <c r="D57" s="80" t="s">
        <v>178</v>
      </c>
      <c r="E57" s="126"/>
      <c r="F57" s="67">
        <f t="shared" si="3"/>
        <v>0</v>
      </c>
      <c r="G57" s="265"/>
      <c r="H57" s="266"/>
      <c r="I57" s="266"/>
      <c r="J57" s="266"/>
      <c r="K57" s="267"/>
      <c r="L57" s="14"/>
      <c r="M57" s="14"/>
      <c r="N57" s="14"/>
    </row>
    <row r="58" spans="1:33" ht="15" customHeight="1" x14ac:dyDescent="0.2">
      <c r="A58" s="129"/>
      <c r="B58" s="130"/>
      <c r="C58" s="210"/>
      <c r="D58" s="80" t="s">
        <v>178</v>
      </c>
      <c r="E58" s="126"/>
      <c r="F58" s="67">
        <f t="shared" si="3"/>
        <v>0</v>
      </c>
      <c r="G58" s="265"/>
      <c r="H58" s="266"/>
      <c r="I58" s="266"/>
      <c r="J58" s="266"/>
      <c r="K58" s="267"/>
      <c r="L58" s="14"/>
      <c r="M58" s="14"/>
      <c r="N58" s="14"/>
    </row>
    <row r="59" spans="1:33" ht="15" customHeight="1" x14ac:dyDescent="0.2">
      <c r="A59" s="131"/>
      <c r="B59" s="132"/>
      <c r="C59" s="211"/>
      <c r="D59" s="133" t="s">
        <v>178</v>
      </c>
      <c r="E59" s="78"/>
      <c r="F59" s="68">
        <f t="shared" si="3"/>
        <v>0</v>
      </c>
      <c r="G59" s="275"/>
      <c r="H59" s="276"/>
      <c r="I59" s="276"/>
      <c r="J59" s="276"/>
      <c r="K59" s="277"/>
      <c r="L59" s="14"/>
      <c r="M59" s="14"/>
      <c r="N59" s="14"/>
    </row>
    <row r="60" spans="1:33" ht="15" customHeight="1" x14ac:dyDescent="0.2">
      <c r="D60" s="7"/>
      <c r="E60" s="7"/>
      <c r="F60" s="7"/>
      <c r="G60" s="7"/>
      <c r="H60" s="7"/>
      <c r="I60" s="7"/>
      <c r="J60" s="7"/>
      <c r="K60" s="7"/>
      <c r="L60" s="7"/>
      <c r="M60" s="7"/>
    </row>
    <row r="61" spans="1:33" ht="17.25" customHeight="1" x14ac:dyDescent="0.2">
      <c r="A61" s="260" t="s">
        <v>18</v>
      </c>
      <c r="B61" s="260"/>
      <c r="C61" s="6"/>
      <c r="D61" s="9" t="s">
        <v>4</v>
      </c>
      <c r="E61" s="254" t="str">
        <f>B5</f>
        <v>Tacoma Power</v>
      </c>
      <c r="F61" s="255"/>
      <c r="G61" s="256"/>
    </row>
    <row r="62" spans="1:33" ht="15" customHeight="1" x14ac:dyDescent="0.2">
      <c r="A62" s="260"/>
      <c r="B62" s="260"/>
      <c r="D62" s="9" t="s">
        <v>13</v>
      </c>
      <c r="E62" s="257">
        <v>2016</v>
      </c>
      <c r="F62" s="258"/>
      <c r="G62" s="259"/>
    </row>
    <row r="63" spans="1:33" ht="15" customHeight="1" x14ac:dyDescent="0.2">
      <c r="A63" s="9"/>
      <c r="B63" s="9"/>
      <c r="C63" s="9"/>
      <c r="D63" s="9"/>
      <c r="G63" s="13"/>
      <c r="H63" s="7"/>
    </row>
    <row r="64" spans="1:33" s="10" customFormat="1" ht="38.25" customHeight="1" x14ac:dyDescent="0.2">
      <c r="A64" s="9"/>
      <c r="B64" s="261" t="s">
        <v>31</v>
      </c>
      <c r="C64" s="261" t="s">
        <v>128</v>
      </c>
      <c r="D64" s="263" t="s">
        <v>174</v>
      </c>
      <c r="E64" s="263" t="s">
        <v>177</v>
      </c>
      <c r="F64" s="263" t="s">
        <v>180</v>
      </c>
      <c r="G64" s="74" t="s">
        <v>182</v>
      </c>
      <c r="H64" s="74" t="s">
        <v>179</v>
      </c>
      <c r="I64" s="74" t="s">
        <v>181</v>
      </c>
      <c r="J64" s="278" t="s">
        <v>183</v>
      </c>
      <c r="K64" s="278"/>
      <c r="L64" s="278"/>
      <c r="M64" s="278"/>
      <c r="N64" s="14"/>
      <c r="O64" s="14"/>
      <c r="AG64" s="7"/>
    </row>
    <row r="65" spans="1:33" ht="15" customHeight="1" x14ac:dyDescent="0.2">
      <c r="A65" s="27" t="s">
        <v>19</v>
      </c>
      <c r="B65" s="262"/>
      <c r="C65" s="262"/>
      <c r="D65" s="264"/>
      <c r="E65" s="264"/>
      <c r="F65" s="264"/>
      <c r="G65" s="12" t="s">
        <v>129</v>
      </c>
      <c r="H65" s="48" t="s">
        <v>32</v>
      </c>
      <c r="I65" s="48" t="s">
        <v>32</v>
      </c>
      <c r="J65" s="278"/>
      <c r="K65" s="278"/>
      <c r="L65" s="278"/>
      <c r="M65" s="278"/>
      <c r="N65" s="14"/>
      <c r="O65" s="14"/>
      <c r="AG65" s="10"/>
    </row>
    <row r="66" spans="1:33" ht="15" customHeight="1" x14ac:dyDescent="0.2">
      <c r="A66" s="137" t="s">
        <v>214</v>
      </c>
      <c r="B66" s="138"/>
      <c r="C66" s="213">
        <v>2015</v>
      </c>
      <c r="D66" s="206" t="s">
        <v>15</v>
      </c>
      <c r="E66" s="80" t="s">
        <v>178</v>
      </c>
      <c r="F66" s="80" t="s">
        <v>178</v>
      </c>
      <c r="G66" s="124">
        <v>181466</v>
      </c>
      <c r="H66" s="49">
        <f>IF(E66="Yes",0.2*G66,0)</f>
        <v>0</v>
      </c>
      <c r="I66" s="49">
        <f>IF(F66="Yes",G66,0)</f>
        <v>0</v>
      </c>
      <c r="J66" s="279" t="s">
        <v>215</v>
      </c>
      <c r="K66" s="280"/>
      <c r="L66" s="280"/>
      <c r="M66" s="281"/>
      <c r="N66" s="14"/>
      <c r="O66" s="14"/>
    </row>
    <row r="67" spans="1:33" ht="15" customHeight="1" x14ac:dyDescent="0.2">
      <c r="A67" s="214" t="s">
        <v>226</v>
      </c>
      <c r="B67" s="140"/>
      <c r="C67" s="141"/>
      <c r="D67" s="207"/>
      <c r="E67" s="80" t="s">
        <v>178</v>
      </c>
      <c r="F67" s="80" t="s">
        <v>178</v>
      </c>
      <c r="G67" s="142"/>
      <c r="H67" s="147">
        <f t="shared" ref="H67:H89" si="4">IF(E67="Yes",0.2*G67,0)</f>
        <v>0</v>
      </c>
      <c r="I67" s="147">
        <f>IF(F67="Yes",G67,0)</f>
        <v>0</v>
      </c>
      <c r="J67" s="265"/>
      <c r="K67" s="266"/>
      <c r="L67" s="266"/>
      <c r="M67" s="267"/>
      <c r="N67" s="14"/>
      <c r="O67" s="14"/>
    </row>
    <row r="68" spans="1:33" ht="15" customHeight="1" x14ac:dyDescent="0.2">
      <c r="A68" s="215" t="s">
        <v>216</v>
      </c>
      <c r="B68" s="140" t="s">
        <v>234</v>
      </c>
      <c r="C68" s="219">
        <v>2016</v>
      </c>
      <c r="D68" s="207" t="s">
        <v>15</v>
      </c>
      <c r="E68" s="80" t="s">
        <v>178</v>
      </c>
      <c r="F68" s="80" t="s">
        <v>178</v>
      </c>
      <c r="G68" s="142">
        <v>2400</v>
      </c>
      <c r="H68" s="147">
        <f t="shared" si="4"/>
        <v>0</v>
      </c>
      <c r="I68" s="147">
        <f t="shared" ref="I68:I90" si="5">IF(F68="Yes",G68,0)</f>
        <v>0</v>
      </c>
      <c r="J68" s="265"/>
      <c r="K68" s="266"/>
      <c r="L68" s="266"/>
      <c r="M68" s="267"/>
      <c r="N68" s="14"/>
      <c r="O68" s="14"/>
    </row>
    <row r="69" spans="1:33" ht="15" customHeight="1" x14ac:dyDescent="0.2">
      <c r="A69" s="215" t="s">
        <v>217</v>
      </c>
      <c r="B69" s="140" t="s">
        <v>235</v>
      </c>
      <c r="C69" s="219">
        <v>2016</v>
      </c>
      <c r="D69" s="208" t="s">
        <v>15</v>
      </c>
      <c r="E69" s="80" t="s">
        <v>178</v>
      </c>
      <c r="F69" s="80" t="s">
        <v>178</v>
      </c>
      <c r="G69" s="142">
        <v>5700</v>
      </c>
      <c r="H69" s="147">
        <f t="shared" si="4"/>
        <v>0</v>
      </c>
      <c r="I69" s="147">
        <f t="shared" si="5"/>
        <v>0</v>
      </c>
      <c r="J69" s="265"/>
      <c r="K69" s="266"/>
      <c r="L69" s="266"/>
      <c r="M69" s="267"/>
      <c r="N69" s="14"/>
      <c r="O69" s="14"/>
    </row>
    <row r="70" spans="1:33" ht="15" customHeight="1" x14ac:dyDescent="0.2">
      <c r="A70" s="216" t="s">
        <v>218</v>
      </c>
      <c r="B70" s="140" t="s">
        <v>236</v>
      </c>
      <c r="C70" s="219">
        <v>2016</v>
      </c>
      <c r="D70" s="207" t="s">
        <v>15</v>
      </c>
      <c r="E70" s="80" t="s">
        <v>178</v>
      </c>
      <c r="F70" s="80" t="s">
        <v>178</v>
      </c>
      <c r="G70" s="142">
        <v>7800</v>
      </c>
      <c r="H70" s="147">
        <f t="shared" si="4"/>
        <v>0</v>
      </c>
      <c r="I70" s="147">
        <f t="shared" si="5"/>
        <v>0</v>
      </c>
      <c r="J70" s="265"/>
      <c r="K70" s="266"/>
      <c r="L70" s="266"/>
      <c r="M70" s="267"/>
      <c r="N70" s="14"/>
      <c r="O70" s="14"/>
    </row>
    <row r="71" spans="1:33" ht="15" customHeight="1" x14ac:dyDescent="0.2">
      <c r="A71" s="215" t="s">
        <v>219</v>
      </c>
      <c r="B71" s="140" t="s">
        <v>237</v>
      </c>
      <c r="C71" s="219">
        <v>2016</v>
      </c>
      <c r="D71" s="220" t="s">
        <v>15</v>
      </c>
      <c r="E71" s="80" t="s">
        <v>178</v>
      </c>
      <c r="F71" s="80" t="s">
        <v>178</v>
      </c>
      <c r="G71" s="142">
        <v>2000</v>
      </c>
      <c r="H71" s="147">
        <f t="shared" si="4"/>
        <v>0</v>
      </c>
      <c r="I71" s="147">
        <f t="shared" si="5"/>
        <v>0</v>
      </c>
      <c r="J71" s="265"/>
      <c r="K71" s="266"/>
      <c r="L71" s="266"/>
      <c r="M71" s="267"/>
      <c r="N71" s="14"/>
      <c r="O71" s="14"/>
    </row>
    <row r="72" spans="1:33" ht="15" customHeight="1" x14ac:dyDescent="0.2">
      <c r="A72" s="217" t="s">
        <v>220</v>
      </c>
      <c r="B72" s="140" t="s">
        <v>238</v>
      </c>
      <c r="C72" s="219">
        <v>2016</v>
      </c>
      <c r="D72" s="220" t="s">
        <v>15</v>
      </c>
      <c r="E72" s="80" t="s">
        <v>178</v>
      </c>
      <c r="F72" s="80" t="s">
        <v>178</v>
      </c>
      <c r="G72" s="142">
        <v>2400</v>
      </c>
      <c r="H72" s="147">
        <f t="shared" si="4"/>
        <v>0</v>
      </c>
      <c r="I72" s="147">
        <f t="shared" si="5"/>
        <v>0</v>
      </c>
      <c r="J72" s="265"/>
      <c r="K72" s="266"/>
      <c r="L72" s="266"/>
      <c r="M72" s="267"/>
      <c r="N72" s="14"/>
      <c r="O72" s="14"/>
    </row>
    <row r="73" spans="1:33" ht="15" customHeight="1" x14ac:dyDescent="0.2">
      <c r="A73" s="218" t="s">
        <v>227</v>
      </c>
      <c r="B73" s="140"/>
      <c r="C73" s="141"/>
      <c r="D73" s="210"/>
      <c r="E73" s="80" t="s">
        <v>178</v>
      </c>
      <c r="F73" s="80" t="s">
        <v>178</v>
      </c>
      <c r="G73" s="142"/>
      <c r="H73" s="147">
        <f t="shared" si="4"/>
        <v>0</v>
      </c>
      <c r="I73" s="147">
        <f t="shared" si="5"/>
        <v>0</v>
      </c>
      <c r="J73" s="265"/>
      <c r="K73" s="266"/>
      <c r="L73" s="266"/>
      <c r="M73" s="267"/>
      <c r="N73" s="14"/>
      <c r="O73" s="14"/>
    </row>
    <row r="74" spans="1:33" ht="15" customHeight="1" x14ac:dyDescent="0.2">
      <c r="A74" s="217" t="s">
        <v>221</v>
      </c>
      <c r="B74" s="140" t="s">
        <v>239</v>
      </c>
      <c r="C74" s="219">
        <v>2016</v>
      </c>
      <c r="D74" s="220" t="s">
        <v>15</v>
      </c>
      <c r="E74" s="80" t="s">
        <v>178</v>
      </c>
      <c r="F74" s="80" t="s">
        <v>178</v>
      </c>
      <c r="G74" s="142">
        <v>26000</v>
      </c>
      <c r="H74" s="147">
        <f t="shared" si="4"/>
        <v>0</v>
      </c>
      <c r="I74" s="147">
        <f t="shared" si="5"/>
        <v>0</v>
      </c>
      <c r="J74" s="265"/>
      <c r="K74" s="266"/>
      <c r="L74" s="266"/>
      <c r="M74" s="267"/>
      <c r="N74" s="14"/>
      <c r="O74" s="14"/>
    </row>
    <row r="75" spans="1:33" ht="15" customHeight="1" x14ac:dyDescent="0.2">
      <c r="A75" s="217" t="s">
        <v>222</v>
      </c>
      <c r="B75" s="140" t="s">
        <v>240</v>
      </c>
      <c r="C75" s="219">
        <v>2016</v>
      </c>
      <c r="D75" s="220" t="s">
        <v>15</v>
      </c>
      <c r="E75" s="80" t="s">
        <v>178</v>
      </c>
      <c r="F75" s="80" t="s">
        <v>178</v>
      </c>
      <c r="G75" s="142">
        <v>25000</v>
      </c>
      <c r="H75" s="147">
        <f t="shared" si="4"/>
        <v>0</v>
      </c>
      <c r="I75" s="147">
        <f t="shared" si="5"/>
        <v>0</v>
      </c>
      <c r="J75" s="265"/>
      <c r="K75" s="266"/>
      <c r="L75" s="266"/>
      <c r="M75" s="267"/>
      <c r="N75" s="14"/>
      <c r="O75" s="14"/>
    </row>
    <row r="76" spans="1:33" ht="15" customHeight="1" x14ac:dyDescent="0.2">
      <c r="A76" s="218" t="s">
        <v>228</v>
      </c>
      <c r="B76" s="140"/>
      <c r="C76" s="141"/>
      <c r="D76" s="210"/>
      <c r="E76" s="80" t="s">
        <v>178</v>
      </c>
      <c r="F76" s="80" t="s">
        <v>178</v>
      </c>
      <c r="G76" s="142"/>
      <c r="H76" s="147">
        <f t="shared" si="4"/>
        <v>0</v>
      </c>
      <c r="I76" s="147">
        <f t="shared" si="5"/>
        <v>0</v>
      </c>
      <c r="J76" s="265"/>
      <c r="K76" s="266"/>
      <c r="L76" s="266"/>
      <c r="M76" s="267"/>
      <c r="N76" s="14"/>
      <c r="O76" s="14"/>
    </row>
    <row r="77" spans="1:33" ht="15" customHeight="1" x14ac:dyDescent="0.2">
      <c r="A77" s="217" t="s">
        <v>223</v>
      </c>
      <c r="B77" s="140" t="s">
        <v>241</v>
      </c>
      <c r="C77" s="219">
        <v>2016</v>
      </c>
      <c r="D77" s="220" t="s">
        <v>15</v>
      </c>
      <c r="E77" s="80" t="s">
        <v>178</v>
      </c>
      <c r="F77" s="80" t="s">
        <v>178</v>
      </c>
      <c r="G77" s="142">
        <v>28000</v>
      </c>
      <c r="H77" s="147">
        <f t="shared" si="4"/>
        <v>0</v>
      </c>
      <c r="I77" s="147">
        <f t="shared" si="5"/>
        <v>0</v>
      </c>
      <c r="J77" s="265"/>
      <c r="K77" s="266"/>
      <c r="L77" s="266"/>
      <c r="M77" s="267"/>
      <c r="N77" s="14"/>
      <c r="O77" s="14"/>
    </row>
    <row r="78" spans="1:33" ht="15" customHeight="1" x14ac:dyDescent="0.2">
      <c r="A78" s="217" t="s">
        <v>224</v>
      </c>
      <c r="B78" s="140" t="s">
        <v>242</v>
      </c>
      <c r="C78" s="219">
        <v>2016</v>
      </c>
      <c r="D78" s="220" t="s">
        <v>15</v>
      </c>
      <c r="E78" s="80" t="s">
        <v>178</v>
      </c>
      <c r="F78" s="80" t="s">
        <v>178</v>
      </c>
      <c r="G78" s="142">
        <v>47000</v>
      </c>
      <c r="H78" s="147">
        <f t="shared" si="4"/>
        <v>0</v>
      </c>
      <c r="I78" s="147">
        <f t="shared" si="5"/>
        <v>0</v>
      </c>
      <c r="J78" s="265"/>
      <c r="K78" s="266"/>
      <c r="L78" s="266"/>
      <c r="M78" s="267"/>
      <c r="N78" s="14"/>
      <c r="O78" s="14"/>
    </row>
    <row r="79" spans="1:33" ht="15" customHeight="1" x14ac:dyDescent="0.2">
      <c r="A79" s="217" t="s">
        <v>225</v>
      </c>
      <c r="B79" s="140" t="s">
        <v>243</v>
      </c>
      <c r="C79" s="219">
        <v>2016</v>
      </c>
      <c r="D79" s="220" t="s">
        <v>15</v>
      </c>
      <c r="E79" s="80" t="s">
        <v>178</v>
      </c>
      <c r="F79" s="80" t="s">
        <v>178</v>
      </c>
      <c r="G79" s="142">
        <v>51000</v>
      </c>
      <c r="H79" s="147">
        <f t="shared" si="4"/>
        <v>0</v>
      </c>
      <c r="I79" s="147">
        <f t="shared" si="5"/>
        <v>0</v>
      </c>
      <c r="J79" s="265"/>
      <c r="K79" s="266"/>
      <c r="L79" s="266"/>
      <c r="M79" s="267"/>
      <c r="N79" s="14"/>
      <c r="O79" s="14"/>
    </row>
    <row r="80" spans="1:33" ht="15" customHeight="1" x14ac:dyDescent="0.2">
      <c r="A80" s="214" t="s">
        <v>229</v>
      </c>
      <c r="B80" s="140"/>
      <c r="C80" s="141"/>
      <c r="D80" s="210"/>
      <c r="E80" s="80" t="s">
        <v>178</v>
      </c>
      <c r="F80" s="80" t="s">
        <v>178</v>
      </c>
      <c r="G80" s="142"/>
      <c r="H80" s="147">
        <f t="shared" si="4"/>
        <v>0</v>
      </c>
      <c r="I80" s="147">
        <f t="shared" si="5"/>
        <v>0</v>
      </c>
      <c r="J80" s="265"/>
      <c r="K80" s="266"/>
      <c r="L80" s="266"/>
      <c r="M80" s="267"/>
      <c r="N80" s="14"/>
      <c r="O80" s="14"/>
    </row>
    <row r="81" spans="1:15" ht="15" customHeight="1" x14ac:dyDescent="0.2">
      <c r="A81" s="217" t="s">
        <v>230</v>
      </c>
      <c r="B81" s="140" t="s">
        <v>244</v>
      </c>
      <c r="C81" s="219">
        <v>2016</v>
      </c>
      <c r="D81" s="220" t="s">
        <v>15</v>
      </c>
      <c r="E81" s="80" t="s">
        <v>178</v>
      </c>
      <c r="F81" s="80" t="s">
        <v>178</v>
      </c>
      <c r="G81" s="142">
        <v>10000</v>
      </c>
      <c r="H81" s="147">
        <f t="shared" si="4"/>
        <v>0</v>
      </c>
      <c r="I81" s="147">
        <f t="shared" si="5"/>
        <v>0</v>
      </c>
      <c r="J81" s="265"/>
      <c r="K81" s="266"/>
      <c r="L81" s="266"/>
      <c r="M81" s="267"/>
      <c r="N81" s="14"/>
      <c r="O81" s="14"/>
    </row>
    <row r="82" spans="1:15" ht="15" customHeight="1" x14ac:dyDescent="0.2">
      <c r="A82" s="217" t="s">
        <v>231</v>
      </c>
      <c r="B82" s="140" t="s">
        <v>245</v>
      </c>
      <c r="C82" s="219">
        <v>2016</v>
      </c>
      <c r="D82" s="220" t="s">
        <v>15</v>
      </c>
      <c r="E82" s="80" t="s">
        <v>178</v>
      </c>
      <c r="F82" s="80" t="s">
        <v>178</v>
      </c>
      <c r="G82" s="142">
        <v>7000</v>
      </c>
      <c r="H82" s="147">
        <f t="shared" si="4"/>
        <v>0</v>
      </c>
      <c r="I82" s="147">
        <f t="shared" si="5"/>
        <v>0</v>
      </c>
      <c r="J82" s="265"/>
      <c r="K82" s="266"/>
      <c r="L82" s="266"/>
      <c r="M82" s="267"/>
      <c r="N82" s="14"/>
      <c r="O82" s="14"/>
    </row>
    <row r="83" spans="1:15" ht="15" customHeight="1" x14ac:dyDescent="0.2">
      <c r="A83" s="218" t="s">
        <v>232</v>
      </c>
      <c r="B83" s="140"/>
      <c r="C83" s="219">
        <v>2016</v>
      </c>
      <c r="D83" s="220" t="s">
        <v>15</v>
      </c>
      <c r="E83" s="80" t="s">
        <v>178</v>
      </c>
      <c r="F83" s="80" t="s">
        <v>178</v>
      </c>
      <c r="G83" s="142">
        <v>40000</v>
      </c>
      <c r="H83" s="147">
        <f t="shared" si="4"/>
        <v>0</v>
      </c>
      <c r="I83" s="147">
        <f t="shared" si="5"/>
        <v>0</v>
      </c>
      <c r="J83" s="265"/>
      <c r="K83" s="266"/>
      <c r="L83" s="266"/>
      <c r="M83" s="267"/>
      <c r="N83" s="14"/>
      <c r="O83" s="14"/>
    </row>
    <row r="84" spans="1:15" ht="15" customHeight="1" x14ac:dyDescent="0.2">
      <c r="A84" s="218" t="s">
        <v>233</v>
      </c>
      <c r="B84" s="140"/>
      <c r="C84" s="219">
        <v>2016</v>
      </c>
      <c r="D84" s="220" t="s">
        <v>175</v>
      </c>
      <c r="E84" s="80" t="s">
        <v>178</v>
      </c>
      <c r="F84" s="80" t="s">
        <v>178</v>
      </c>
      <c r="G84" s="142">
        <v>50000</v>
      </c>
      <c r="H84" s="147">
        <f t="shared" si="4"/>
        <v>0</v>
      </c>
      <c r="I84" s="147">
        <f t="shared" si="5"/>
        <v>0</v>
      </c>
      <c r="J84" s="265"/>
      <c r="K84" s="266"/>
      <c r="L84" s="266"/>
      <c r="M84" s="267"/>
      <c r="N84" s="14"/>
      <c r="O84" s="14"/>
    </row>
    <row r="85" spans="1:15" ht="15" customHeight="1" x14ac:dyDescent="0.2">
      <c r="A85" s="139"/>
      <c r="B85" s="140"/>
      <c r="C85" s="141"/>
      <c r="D85" s="210"/>
      <c r="E85" s="80" t="s">
        <v>178</v>
      </c>
      <c r="F85" s="80" t="s">
        <v>178</v>
      </c>
      <c r="G85" s="142"/>
      <c r="H85" s="147">
        <f t="shared" si="4"/>
        <v>0</v>
      </c>
      <c r="I85" s="147">
        <f t="shared" si="5"/>
        <v>0</v>
      </c>
      <c r="J85" s="265"/>
      <c r="K85" s="266"/>
      <c r="L85" s="266"/>
      <c r="M85" s="267"/>
      <c r="N85" s="14"/>
      <c r="O85" s="14"/>
    </row>
    <row r="86" spans="1:15" ht="15" customHeight="1" x14ac:dyDescent="0.2">
      <c r="A86" s="139"/>
      <c r="B86" s="140"/>
      <c r="C86" s="141"/>
      <c r="D86" s="210"/>
      <c r="E86" s="80" t="s">
        <v>178</v>
      </c>
      <c r="F86" s="80" t="s">
        <v>178</v>
      </c>
      <c r="G86" s="142"/>
      <c r="H86" s="147">
        <f t="shared" si="4"/>
        <v>0</v>
      </c>
      <c r="I86" s="147">
        <f t="shared" si="5"/>
        <v>0</v>
      </c>
      <c r="J86" s="265"/>
      <c r="K86" s="266"/>
      <c r="L86" s="266"/>
      <c r="M86" s="267"/>
      <c r="N86" s="14"/>
      <c r="O86" s="14"/>
    </row>
    <row r="87" spans="1:15" ht="15" customHeight="1" x14ac:dyDescent="0.2">
      <c r="A87" s="139"/>
      <c r="B87" s="140"/>
      <c r="C87" s="141"/>
      <c r="D87" s="210"/>
      <c r="E87" s="80" t="s">
        <v>178</v>
      </c>
      <c r="F87" s="80" t="s">
        <v>178</v>
      </c>
      <c r="G87" s="142"/>
      <c r="H87" s="147">
        <f t="shared" si="4"/>
        <v>0</v>
      </c>
      <c r="I87" s="147">
        <f t="shared" si="5"/>
        <v>0</v>
      </c>
      <c r="J87" s="265"/>
      <c r="K87" s="266"/>
      <c r="L87" s="266"/>
      <c r="M87" s="267"/>
      <c r="N87" s="14"/>
      <c r="O87" s="14"/>
    </row>
    <row r="88" spans="1:15" ht="15" customHeight="1" x14ac:dyDescent="0.2">
      <c r="A88" s="139"/>
      <c r="B88" s="140"/>
      <c r="C88" s="141"/>
      <c r="D88" s="210"/>
      <c r="E88" s="80" t="s">
        <v>178</v>
      </c>
      <c r="F88" s="80" t="s">
        <v>178</v>
      </c>
      <c r="G88" s="142"/>
      <c r="H88" s="147">
        <f t="shared" si="4"/>
        <v>0</v>
      </c>
      <c r="I88" s="147">
        <f t="shared" si="5"/>
        <v>0</v>
      </c>
      <c r="J88" s="265"/>
      <c r="K88" s="266"/>
      <c r="L88" s="266"/>
      <c r="M88" s="267"/>
      <c r="N88" s="14"/>
      <c r="O88" s="14"/>
    </row>
    <row r="89" spans="1:15" ht="15" customHeight="1" x14ac:dyDescent="0.2">
      <c r="A89" s="139"/>
      <c r="B89" s="140"/>
      <c r="C89" s="141"/>
      <c r="D89" s="210"/>
      <c r="E89" s="80" t="s">
        <v>178</v>
      </c>
      <c r="F89" s="80" t="s">
        <v>178</v>
      </c>
      <c r="G89" s="142"/>
      <c r="H89" s="147">
        <f t="shared" si="4"/>
        <v>0</v>
      </c>
      <c r="I89" s="147">
        <f t="shared" si="5"/>
        <v>0</v>
      </c>
      <c r="J89" s="265"/>
      <c r="K89" s="266"/>
      <c r="L89" s="266"/>
      <c r="M89" s="267"/>
      <c r="N89" s="14"/>
      <c r="O89" s="14"/>
    </row>
    <row r="90" spans="1:15" ht="15" customHeight="1" x14ac:dyDescent="0.2">
      <c r="A90" s="143"/>
      <c r="B90" s="144"/>
      <c r="C90" s="145"/>
      <c r="D90" s="211"/>
      <c r="E90" s="80" t="s">
        <v>178</v>
      </c>
      <c r="F90" s="80" t="s">
        <v>178</v>
      </c>
      <c r="G90" s="146"/>
      <c r="H90" s="50">
        <f>IF(E90="Yes",0.2*G90,0)</f>
        <v>0</v>
      </c>
      <c r="I90" s="147">
        <f t="shared" si="5"/>
        <v>0</v>
      </c>
      <c r="J90" s="265"/>
      <c r="K90" s="266"/>
      <c r="L90" s="266"/>
      <c r="M90" s="267"/>
      <c r="N90" s="14"/>
      <c r="O90" s="14"/>
    </row>
    <row r="91" spans="1:15" ht="15" customHeight="1" x14ac:dyDescent="0.2">
      <c r="N91" s="14"/>
      <c r="O91" s="14"/>
    </row>
    <row r="92" spans="1:15" ht="15" customHeight="1" x14ac:dyDescent="0.2">
      <c r="A92" s="10"/>
      <c r="B92" s="10"/>
      <c r="C92" s="10"/>
      <c r="D92" s="9" t="s">
        <v>4</v>
      </c>
      <c r="E92" s="254" t="str">
        <f>B5</f>
        <v>Tacoma Power</v>
      </c>
      <c r="F92" s="255"/>
      <c r="G92" s="256"/>
      <c r="N92" s="14"/>
      <c r="O92" s="14"/>
    </row>
    <row r="93" spans="1:15" ht="15" customHeight="1" x14ac:dyDescent="0.2">
      <c r="D93" s="9" t="s">
        <v>13</v>
      </c>
      <c r="E93" s="257">
        <v>2016</v>
      </c>
      <c r="F93" s="258"/>
      <c r="G93" s="259"/>
    </row>
    <row r="94" spans="1:15" x14ac:dyDescent="0.2">
      <c r="A94" s="2" t="s">
        <v>39</v>
      </c>
      <c r="B94" s="46"/>
      <c r="C94" s="46"/>
      <c r="D94" s="46"/>
      <c r="E94" s="46"/>
      <c r="F94" s="46"/>
      <c r="G94" s="46"/>
      <c r="H94" s="46"/>
      <c r="I94" s="46"/>
      <c r="J94" s="46"/>
      <c r="K94" s="46"/>
      <c r="L94" s="46"/>
    </row>
    <row r="95" spans="1:15" x14ac:dyDescent="0.2">
      <c r="A95" s="46"/>
      <c r="B95" s="46"/>
      <c r="C95" s="46"/>
      <c r="D95" s="46"/>
      <c r="E95" s="46"/>
      <c r="F95" s="46"/>
      <c r="G95" s="46"/>
      <c r="H95" s="46"/>
      <c r="I95" s="46"/>
      <c r="J95" s="46"/>
      <c r="K95" s="46"/>
      <c r="L95" s="46"/>
    </row>
    <row r="96" spans="1:15" x14ac:dyDescent="0.2">
      <c r="A96" s="46"/>
      <c r="B96" s="46"/>
      <c r="C96" s="46"/>
      <c r="D96" s="46"/>
      <c r="E96" s="46"/>
      <c r="F96" s="46"/>
      <c r="G96" s="46"/>
      <c r="H96" s="46"/>
      <c r="I96" s="46"/>
      <c r="J96" s="46"/>
      <c r="K96" s="46"/>
      <c r="L96" s="46"/>
    </row>
    <row r="97" spans="1:12" x14ac:dyDescent="0.2">
      <c r="A97" s="46"/>
      <c r="B97" s="46"/>
      <c r="C97" s="46"/>
      <c r="D97" s="46"/>
      <c r="E97" s="46"/>
      <c r="F97" s="46"/>
      <c r="G97" s="46"/>
      <c r="H97" s="46"/>
      <c r="I97" s="46"/>
      <c r="J97" s="46"/>
      <c r="K97" s="46"/>
      <c r="L97" s="46"/>
    </row>
    <row r="98" spans="1:12" x14ac:dyDescent="0.2">
      <c r="A98" s="46"/>
      <c r="B98" s="46"/>
      <c r="C98" s="46"/>
      <c r="D98" s="46"/>
      <c r="E98" s="46"/>
      <c r="F98" s="46"/>
      <c r="G98" s="46"/>
      <c r="H98" s="46"/>
      <c r="I98" s="46"/>
      <c r="J98" s="46"/>
      <c r="K98" s="46"/>
      <c r="L98" s="46"/>
    </row>
    <row r="99" spans="1:12" x14ac:dyDescent="0.2">
      <c r="A99" s="46"/>
      <c r="B99" s="46"/>
      <c r="C99" s="46"/>
      <c r="D99" s="46"/>
      <c r="E99" s="46"/>
      <c r="F99" s="46"/>
      <c r="G99" s="46"/>
      <c r="H99" s="46"/>
      <c r="I99" s="46"/>
      <c r="J99" s="46"/>
      <c r="K99" s="46"/>
      <c r="L99" s="46"/>
    </row>
    <row r="100" spans="1:12" x14ac:dyDescent="0.2">
      <c r="A100" s="46"/>
      <c r="B100" s="46"/>
      <c r="C100" s="46"/>
      <c r="D100" s="46"/>
      <c r="E100" s="46"/>
      <c r="F100" s="46"/>
      <c r="G100" s="46"/>
      <c r="H100" s="46"/>
      <c r="I100" s="46"/>
      <c r="J100" s="46"/>
      <c r="K100" s="46"/>
      <c r="L100" s="46"/>
    </row>
    <row r="101" spans="1:12" x14ac:dyDescent="0.2">
      <c r="A101" s="46"/>
      <c r="B101" s="46"/>
      <c r="C101" s="46"/>
      <c r="D101" s="46"/>
      <c r="E101" s="46"/>
      <c r="F101" s="46"/>
      <c r="G101" s="46"/>
      <c r="H101" s="46"/>
      <c r="I101" s="46"/>
      <c r="J101" s="46"/>
      <c r="K101" s="46"/>
      <c r="L101" s="46"/>
    </row>
    <row r="102" spans="1:12" x14ac:dyDescent="0.2">
      <c r="A102" s="46"/>
      <c r="B102" s="46"/>
      <c r="C102" s="46"/>
      <c r="D102" s="46"/>
      <c r="E102" s="46"/>
      <c r="F102" s="46"/>
      <c r="G102" s="46"/>
      <c r="H102" s="46"/>
      <c r="I102" s="46"/>
      <c r="J102" s="46"/>
      <c r="K102" s="46"/>
      <c r="L102" s="46"/>
    </row>
    <row r="103" spans="1:12" x14ac:dyDescent="0.2">
      <c r="A103" s="46"/>
      <c r="B103" s="46"/>
      <c r="C103" s="46"/>
      <c r="D103" s="46"/>
      <c r="E103" s="46"/>
      <c r="F103" s="46"/>
      <c r="G103" s="46"/>
      <c r="H103" s="46"/>
      <c r="I103" s="46"/>
      <c r="J103" s="46"/>
      <c r="K103" s="46"/>
      <c r="L103" s="46"/>
    </row>
    <row r="104" spans="1:12" x14ac:dyDescent="0.2">
      <c r="A104" s="46"/>
      <c r="B104" s="46"/>
      <c r="C104" s="46"/>
      <c r="D104" s="46"/>
      <c r="E104" s="46"/>
      <c r="F104" s="46"/>
      <c r="G104" s="46"/>
      <c r="H104" s="46"/>
      <c r="I104" s="46"/>
      <c r="J104" s="46"/>
      <c r="K104" s="46"/>
      <c r="L104" s="46"/>
    </row>
    <row r="105" spans="1:12" x14ac:dyDescent="0.2">
      <c r="A105" s="46"/>
      <c r="B105" s="46"/>
      <c r="C105" s="46"/>
      <c r="D105" s="46"/>
      <c r="E105" s="46"/>
      <c r="F105" s="46"/>
      <c r="G105" s="46"/>
      <c r="H105" s="46"/>
      <c r="I105" s="46"/>
      <c r="J105" s="46"/>
      <c r="K105" s="46"/>
      <c r="L105" s="46"/>
    </row>
    <row r="106" spans="1:12" x14ac:dyDescent="0.2">
      <c r="A106" s="46"/>
      <c r="B106" s="46"/>
      <c r="C106" s="46"/>
      <c r="D106" s="46"/>
      <c r="E106" s="46"/>
      <c r="F106" s="46"/>
      <c r="G106" s="46"/>
      <c r="H106" s="46"/>
      <c r="I106" s="46"/>
      <c r="J106" s="46"/>
      <c r="K106" s="46"/>
      <c r="L106" s="46"/>
    </row>
    <row r="107" spans="1:12" x14ac:dyDescent="0.2">
      <c r="A107" s="46"/>
      <c r="B107" s="46"/>
      <c r="C107" s="46"/>
      <c r="D107" s="46"/>
      <c r="E107" s="46"/>
      <c r="F107" s="46"/>
      <c r="G107" s="46"/>
      <c r="H107" s="46"/>
      <c r="I107" s="46"/>
      <c r="J107" s="46"/>
      <c r="K107" s="46"/>
      <c r="L107" s="46"/>
    </row>
    <row r="108" spans="1:12" x14ac:dyDescent="0.2">
      <c r="A108" s="46"/>
      <c r="B108" s="46"/>
      <c r="C108" s="46"/>
      <c r="D108" s="46"/>
      <c r="E108" s="46"/>
      <c r="F108" s="46"/>
      <c r="G108" s="46"/>
      <c r="H108" s="46"/>
      <c r="I108" s="46"/>
      <c r="J108" s="46"/>
      <c r="K108" s="46"/>
      <c r="L108" s="46"/>
    </row>
    <row r="109" spans="1:12" x14ac:dyDescent="0.2">
      <c r="A109" s="46"/>
      <c r="B109" s="46"/>
      <c r="C109" s="46"/>
      <c r="D109" s="46"/>
      <c r="E109" s="46"/>
      <c r="F109" s="46"/>
      <c r="G109" s="46"/>
      <c r="H109" s="46"/>
      <c r="I109" s="46"/>
      <c r="J109" s="46"/>
      <c r="K109" s="46"/>
      <c r="L109" s="46"/>
    </row>
    <row r="110" spans="1:12" x14ac:dyDescent="0.2">
      <c r="A110" s="46"/>
      <c r="B110" s="46"/>
      <c r="C110" s="46"/>
      <c r="D110" s="46"/>
      <c r="E110" s="46"/>
      <c r="F110" s="46"/>
      <c r="G110" s="46"/>
      <c r="H110" s="46"/>
      <c r="I110" s="46"/>
      <c r="J110" s="46"/>
      <c r="K110" s="46"/>
      <c r="L110" s="46"/>
    </row>
    <row r="111" spans="1:12" x14ac:dyDescent="0.2">
      <c r="A111" s="46"/>
      <c r="B111" s="46"/>
      <c r="C111" s="46"/>
      <c r="D111" s="46"/>
      <c r="E111" s="46"/>
      <c r="F111" s="46"/>
      <c r="G111" s="46"/>
      <c r="H111" s="46"/>
      <c r="I111" s="46"/>
      <c r="J111" s="46"/>
      <c r="K111" s="46"/>
      <c r="L111" s="46"/>
    </row>
    <row r="112" spans="1:12" x14ac:dyDescent="0.2">
      <c r="A112" s="46"/>
      <c r="B112" s="46"/>
      <c r="C112" s="46"/>
      <c r="D112" s="46"/>
      <c r="E112" s="46"/>
      <c r="F112" s="46"/>
      <c r="G112" s="46"/>
      <c r="H112" s="46"/>
      <c r="I112" s="46"/>
      <c r="J112" s="46"/>
      <c r="K112" s="46"/>
      <c r="L112" s="46"/>
    </row>
    <row r="113" spans="1:12" x14ac:dyDescent="0.2">
      <c r="A113" s="46"/>
      <c r="B113" s="46"/>
      <c r="C113" s="46"/>
      <c r="D113" s="46"/>
      <c r="E113" s="46"/>
      <c r="F113" s="46"/>
      <c r="G113" s="46"/>
      <c r="H113" s="46"/>
      <c r="I113" s="46"/>
      <c r="J113" s="46"/>
      <c r="K113" s="46"/>
      <c r="L113" s="46"/>
    </row>
    <row r="114" spans="1:12" x14ac:dyDescent="0.2">
      <c r="A114" s="46"/>
      <c r="B114" s="46"/>
      <c r="C114" s="46"/>
      <c r="D114" s="46"/>
      <c r="E114" s="46"/>
      <c r="F114" s="46"/>
      <c r="G114" s="46"/>
      <c r="H114" s="46"/>
      <c r="I114" s="46"/>
      <c r="J114" s="46"/>
      <c r="K114" s="46"/>
      <c r="L114" s="46"/>
    </row>
    <row r="115" spans="1:12" x14ac:dyDescent="0.2">
      <c r="A115" s="46"/>
      <c r="B115" s="46"/>
      <c r="C115" s="46"/>
      <c r="D115" s="46"/>
      <c r="E115" s="46"/>
      <c r="F115" s="46"/>
      <c r="G115" s="46"/>
      <c r="H115" s="46"/>
      <c r="I115" s="46"/>
      <c r="J115" s="46"/>
      <c r="K115" s="46"/>
      <c r="L115" s="46"/>
    </row>
  </sheetData>
  <mergeCells count="69">
    <mergeCell ref="A1:N1"/>
    <mergeCell ref="A2:N2"/>
    <mergeCell ref="J90:M90"/>
    <mergeCell ref="G40:K40"/>
    <mergeCell ref="G41:K41"/>
    <mergeCell ref="G43:K43"/>
    <mergeCell ref="G44:K44"/>
    <mergeCell ref="G45:K45"/>
    <mergeCell ref="G46:K46"/>
    <mergeCell ref="G47:K47"/>
    <mergeCell ref="G48:K48"/>
    <mergeCell ref="G49:K49"/>
    <mergeCell ref="G50:K50"/>
    <mergeCell ref="J85:M85"/>
    <mergeCell ref="J86:M86"/>
    <mergeCell ref="J88:M88"/>
    <mergeCell ref="J89:M89"/>
    <mergeCell ref="J80:M80"/>
    <mergeCell ref="J81:M81"/>
    <mergeCell ref="J82:M82"/>
    <mergeCell ref="J83:M83"/>
    <mergeCell ref="J84:M84"/>
    <mergeCell ref="J76:M76"/>
    <mergeCell ref="J77:M77"/>
    <mergeCell ref="J78:M78"/>
    <mergeCell ref="J79:M79"/>
    <mergeCell ref="J87:M87"/>
    <mergeCell ref="J71:M71"/>
    <mergeCell ref="J72:M72"/>
    <mergeCell ref="J73:M73"/>
    <mergeCell ref="J74:M74"/>
    <mergeCell ref="J75:M75"/>
    <mergeCell ref="H4:M4"/>
    <mergeCell ref="F12:M12"/>
    <mergeCell ref="J67:M67"/>
    <mergeCell ref="J68:M68"/>
    <mergeCell ref="J69:M69"/>
    <mergeCell ref="G59:K59"/>
    <mergeCell ref="G54:K54"/>
    <mergeCell ref="G55:K55"/>
    <mergeCell ref="G56:K56"/>
    <mergeCell ref="G57:K57"/>
    <mergeCell ref="G58:K58"/>
    <mergeCell ref="F64:F65"/>
    <mergeCell ref="J64:M65"/>
    <mergeCell ref="J66:M66"/>
    <mergeCell ref="H16:L16"/>
    <mergeCell ref="E61:G61"/>
    <mergeCell ref="B5:D5"/>
    <mergeCell ref="B6:D6"/>
    <mergeCell ref="B7:D7"/>
    <mergeCell ref="B8:D8"/>
    <mergeCell ref="B9:D9"/>
    <mergeCell ref="E92:G92"/>
    <mergeCell ref="E93:G93"/>
    <mergeCell ref="E36:G36"/>
    <mergeCell ref="E37:G37"/>
    <mergeCell ref="A36:A37"/>
    <mergeCell ref="A61:B62"/>
    <mergeCell ref="C64:C65"/>
    <mergeCell ref="B64:B65"/>
    <mergeCell ref="D64:D65"/>
    <mergeCell ref="E64:E65"/>
    <mergeCell ref="E62:G62"/>
    <mergeCell ref="G51:K51"/>
    <mergeCell ref="G52:K52"/>
    <mergeCell ref="G53:K53"/>
    <mergeCell ref="G39:K39"/>
    <mergeCell ref="J70:M70"/>
  </mergeCells>
  <dataValidations disablePrompts="1" count="5">
    <dataValidation type="list" allowBlank="1" showInputMessage="1" showErrorMessage="1" promptTitle="Distributed Generation Eligibili" prompt="Use the drop down box to select &quot;Yes&quot; if the resource is eligible for the distributed generation additional credit. The amount is equal to 100 percent of the MWh reported and will be calculated." sqref="F66:F90">
      <formula1>"Yes,No"</formula1>
    </dataValidation>
    <dataValidation type="list" allowBlank="1" showInputMessage="1" showErrorMessage="1" error="REC Vintage must be 2015, 2016, or 2017. List each vintage year separately." sqref="C66:C90">
      <formula1>"2015,2016,2017"</formula1>
    </dataValidation>
    <dataValidation type="list" allowBlank="1" showInputMessage="1" showErrorMessage="1" promptTitle="Resource Type" prompt="Select from the drop down menu. Use scroll bar on the right side of the box to see the entire list of eligible resource types." sqref="D66:D90 C40:C59">
      <formula1>ResourceType</formula1>
    </dataValidation>
    <dataValidation type="list" allowBlank="1" showInputMessage="1" showErrorMessage="1" promptTitle="Apprentice Labor Eligibility" prompt="Use the drop down box to select &quot;Yes&quot; if the resource is eligible for the apprentice labor additional credit. The amount is equal to 20 percent of the MWh reported and will be calculated." sqref="E66:E90 D40:D59">
      <formula1>"Yes,No"</formula1>
    </dataValidation>
    <dataValidation allowBlank="1" showErrorMessage="1" sqref="A14"/>
  </dataValidations>
  <pageMargins left="0.7" right="0.7" top="0.75" bottom="0.75" header="0.3" footer="0.3"/>
  <pageSetup scale="71" fitToHeight="0" orientation="landscape" r:id="rId1"/>
  <rowBreaks count="3" manualBreakCount="3">
    <brk id="34" max="13" man="1"/>
    <brk id="60" max="13" man="1"/>
    <brk id="90"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5453" r:id="rId4" name="Check Box 333">
              <controlPr defaultSize="0" autoFill="0" autoLine="0" autoPict="0">
                <anchor moveWithCells="1" sizeWithCells="1">
                  <from>
                    <xdr:col>0</xdr:col>
                    <xdr:colOff>733425</xdr:colOff>
                    <xdr:row>15</xdr:row>
                    <xdr:rowOff>9525</xdr:rowOff>
                  </from>
                  <to>
                    <xdr:col>3</xdr:col>
                    <xdr:colOff>428625</xdr:colOff>
                    <xdr:row>15</xdr:row>
                    <xdr:rowOff>123825</xdr:rowOff>
                  </to>
                </anchor>
              </controlPr>
            </control>
          </mc:Choice>
        </mc:AlternateContent>
        <mc:AlternateContent xmlns:mc="http://schemas.openxmlformats.org/markup-compatibility/2006">
          <mc:Choice Requires="x14">
            <control shapeId="5454" r:id="rId5" name="Check Box 334">
              <controlPr defaultSize="0" autoFill="0" autoLine="0" autoPict="0">
                <anchor moveWithCells="1" sizeWithCells="1">
                  <from>
                    <xdr:col>0</xdr:col>
                    <xdr:colOff>733425</xdr:colOff>
                    <xdr:row>12</xdr:row>
                    <xdr:rowOff>171450</xdr:rowOff>
                  </from>
                  <to>
                    <xdr:col>3</xdr:col>
                    <xdr:colOff>257175</xdr:colOff>
                    <xdr:row>14</xdr:row>
                    <xdr:rowOff>95250</xdr:rowOff>
                  </to>
                </anchor>
              </controlPr>
            </control>
          </mc:Choice>
        </mc:AlternateContent>
        <mc:AlternateContent xmlns:mc="http://schemas.openxmlformats.org/markup-compatibility/2006">
          <mc:Choice Requires="x14">
            <control shapeId="5455" r:id="rId6" name="Check Box 335">
              <controlPr defaultSize="0" autoFill="0" autoLine="0" autoPict="0">
                <anchor moveWithCells="1" sizeWithCells="1">
                  <from>
                    <xdr:col>0</xdr:col>
                    <xdr:colOff>733425</xdr:colOff>
                    <xdr:row>11</xdr:row>
                    <xdr:rowOff>123825</xdr:rowOff>
                  </from>
                  <to>
                    <xdr:col>3</xdr:col>
                    <xdr:colOff>47625</xdr:colOff>
                    <xdr:row>12</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N61"/>
  <sheetViews>
    <sheetView showGridLines="0" zoomScaleNormal="100" zoomScaleSheetLayoutView="100" workbookViewId="0">
      <selection activeCell="A4" sqref="A4"/>
    </sheetView>
  </sheetViews>
  <sheetFormatPr defaultColWidth="9.140625" defaultRowHeight="12.75" x14ac:dyDescent="0.2"/>
  <cols>
    <col min="1" max="1" width="30.7109375" style="76" customWidth="1"/>
    <col min="2" max="2" width="10.85546875" style="76" customWidth="1"/>
    <col min="3" max="3" width="10.28515625" style="76" customWidth="1"/>
    <col min="4" max="4" width="14" style="76" customWidth="1"/>
    <col min="5" max="5" width="14.140625" style="76" customWidth="1"/>
    <col min="6" max="8" width="10.7109375" style="76" customWidth="1"/>
    <col min="9" max="9" width="15.7109375" style="76" customWidth="1"/>
    <col min="10" max="10" width="10.7109375" style="76" customWidth="1"/>
    <col min="11" max="11" width="16.5703125" style="76" customWidth="1"/>
    <col min="12" max="16384" width="9.140625" style="76"/>
  </cols>
  <sheetData>
    <row r="1" spans="1:14" ht="15" customHeight="1" x14ac:dyDescent="0.2">
      <c r="A1" s="288" t="s">
        <v>191</v>
      </c>
      <c r="B1" s="288"/>
      <c r="C1" s="288"/>
      <c r="D1" s="288"/>
      <c r="E1" s="288"/>
      <c r="F1" s="288"/>
      <c r="G1" s="288"/>
      <c r="H1" s="288"/>
      <c r="I1" s="288"/>
      <c r="J1" s="288"/>
      <c r="K1" s="288"/>
      <c r="L1" s="77"/>
      <c r="M1" s="77"/>
      <c r="N1" s="77"/>
    </row>
    <row r="2" spans="1:14" ht="15" customHeight="1" x14ac:dyDescent="0.2">
      <c r="A2" s="289" t="s">
        <v>192</v>
      </c>
      <c r="B2" s="289"/>
      <c r="C2" s="289"/>
      <c r="D2" s="289"/>
      <c r="E2" s="289"/>
      <c r="F2" s="289"/>
      <c r="G2" s="289"/>
      <c r="H2" s="289"/>
      <c r="I2" s="289"/>
      <c r="J2" s="289"/>
      <c r="K2" s="289"/>
      <c r="L2" s="77"/>
      <c r="M2" s="77"/>
      <c r="N2" s="77"/>
    </row>
    <row r="3" spans="1:14" s="77" customFormat="1" ht="19.5" x14ac:dyDescent="0.4">
      <c r="A3" s="149" t="s">
        <v>137</v>
      </c>
      <c r="B3" s="149"/>
      <c r="C3" s="149"/>
    </row>
    <row r="4" spans="1:14" ht="15" customHeight="1" x14ac:dyDescent="0.2">
      <c r="L4" s="77"/>
      <c r="M4" s="77"/>
      <c r="N4" s="77"/>
    </row>
    <row r="5" spans="1:14" ht="16.5" customHeight="1" x14ac:dyDescent="0.25">
      <c r="A5" s="150" t="s">
        <v>100</v>
      </c>
      <c r="B5" s="151"/>
      <c r="C5" s="151"/>
      <c r="D5" s="85" t="s">
        <v>4</v>
      </c>
      <c r="E5" s="290" t="str">
        <f>'Renewables Report'!$B$5</f>
        <v>Tacoma Power</v>
      </c>
      <c r="F5" s="291"/>
      <c r="G5" s="292"/>
      <c r="L5" s="77"/>
      <c r="M5" s="77"/>
      <c r="N5" s="77"/>
    </row>
    <row r="6" spans="1:14" ht="15" customHeight="1" x14ac:dyDescent="0.2">
      <c r="D6" s="85" t="s">
        <v>13</v>
      </c>
      <c r="E6" s="293">
        <v>2016</v>
      </c>
      <c r="F6" s="294"/>
      <c r="G6" s="295"/>
    </row>
    <row r="7" spans="1:14" ht="15" customHeight="1" x14ac:dyDescent="0.2">
      <c r="D7" s="85"/>
      <c r="E7" s="86"/>
      <c r="F7" s="152"/>
      <c r="G7" s="152"/>
    </row>
    <row r="8" spans="1:14" ht="48" x14ac:dyDescent="0.2">
      <c r="A8" s="153" t="s">
        <v>19</v>
      </c>
      <c r="B8" s="154" t="s">
        <v>31</v>
      </c>
      <c r="C8" s="155" t="s">
        <v>7</v>
      </c>
      <c r="D8" s="156" t="s">
        <v>136</v>
      </c>
      <c r="E8" s="156" t="s">
        <v>96</v>
      </c>
      <c r="F8" s="296" t="s">
        <v>95</v>
      </c>
      <c r="G8" s="296"/>
      <c r="H8" s="296"/>
      <c r="I8" s="156" t="s">
        <v>135</v>
      </c>
      <c r="J8" s="156" t="s">
        <v>97</v>
      </c>
      <c r="K8" s="156" t="s">
        <v>134</v>
      </c>
    </row>
    <row r="9" spans="1:14" ht="15" customHeight="1" x14ac:dyDescent="0.2">
      <c r="A9" s="175" t="str">
        <f>'Renewables Report'!A40</f>
        <v>Mossyrock Rebuild</v>
      </c>
      <c r="B9" s="176">
        <f>'Renewables Report'!B40</f>
        <v>0</v>
      </c>
      <c r="C9" s="177">
        <f>SUM('Renewables Report'!E40)</f>
        <v>0</v>
      </c>
      <c r="D9" s="157"/>
      <c r="E9" s="186" t="str">
        <f>IF(C9&gt;0,D9/C9,"")</f>
        <v/>
      </c>
      <c r="F9" s="279"/>
      <c r="G9" s="280"/>
      <c r="H9" s="281"/>
      <c r="I9" s="157"/>
      <c r="J9" s="186" t="str">
        <f>IF(C9&gt;0,I9/C9,"")</f>
        <v/>
      </c>
      <c r="K9" s="186">
        <f>MAX(0,D9-I9)</f>
        <v>0</v>
      </c>
    </row>
    <row r="10" spans="1:14" ht="15" customHeight="1" x14ac:dyDescent="0.2">
      <c r="A10" s="222" t="str">
        <f>'Renewables Report'!A41</f>
        <v>Improved Turbine Efficiency</v>
      </c>
      <c r="B10" s="179">
        <f>'Renewables Report'!B41</f>
        <v>0</v>
      </c>
      <c r="C10" s="180">
        <v>26758</v>
      </c>
      <c r="D10" s="158">
        <f>(C10/(SUM(C10:C12)))*45554</f>
        <v>27070.576796659858</v>
      </c>
      <c r="E10" s="187">
        <f t="shared" ref="E10:E28" si="0">IF(C10&gt;0,D10/C10,"")</f>
        <v>1.0116816203251311</v>
      </c>
      <c r="F10" s="265" t="s">
        <v>249</v>
      </c>
      <c r="G10" s="266"/>
      <c r="H10" s="267"/>
      <c r="I10" s="158"/>
      <c r="J10" s="187">
        <f t="shared" ref="J10:J28" si="1">IF(C10&gt;0,I10/C10,"")</f>
        <v>0</v>
      </c>
      <c r="K10" s="187">
        <f t="shared" ref="K10:K28" si="2">MAX(0,D10-I10)</f>
        <v>27070.576796659858</v>
      </c>
    </row>
    <row r="11" spans="1:14" ht="15" customHeight="1" x14ac:dyDescent="0.2">
      <c r="A11" s="222" t="str">
        <f>'Renewables Report'!A42</f>
        <v>Reduced Wicket Gate Leakage</v>
      </c>
      <c r="B11" s="179">
        <f>'Renewables Report'!B42</f>
        <v>0</v>
      </c>
      <c r="C11" s="180">
        <f>SUM('Renewables Report'!E42)</f>
        <v>18000</v>
      </c>
      <c r="D11" s="158">
        <f>(C11/(SUM(C10:C12)))*45554</f>
        <v>18210.269165852358</v>
      </c>
      <c r="E11" s="187">
        <f t="shared" si="0"/>
        <v>1.0116816203251311</v>
      </c>
      <c r="F11" s="265" t="s">
        <v>249</v>
      </c>
      <c r="G11" s="266"/>
      <c r="H11" s="267"/>
      <c r="I11" s="158"/>
      <c r="J11" s="187">
        <f t="shared" si="1"/>
        <v>0</v>
      </c>
      <c r="K11" s="187">
        <f t="shared" si="2"/>
        <v>18210.269165852358</v>
      </c>
    </row>
    <row r="12" spans="1:14" ht="15" customHeight="1" x14ac:dyDescent="0.2">
      <c r="A12" s="222" t="str">
        <f>'Renewables Report'!A43</f>
        <v>Improved Transformer Efficiency</v>
      </c>
      <c r="B12" s="179">
        <f>'Renewables Report'!B43</f>
        <v>0</v>
      </c>
      <c r="C12" s="180">
        <f>SUM('Renewables Report'!E43)</f>
        <v>270</v>
      </c>
      <c r="D12" s="158">
        <f>(C12/(SUM(C10:C12)))*45554</f>
        <v>273.15403748778539</v>
      </c>
      <c r="E12" s="187">
        <f t="shared" si="0"/>
        <v>1.0116816203251311</v>
      </c>
      <c r="F12" s="265" t="s">
        <v>249</v>
      </c>
      <c r="G12" s="266"/>
      <c r="H12" s="267"/>
      <c r="I12" s="158"/>
      <c r="J12" s="187">
        <f t="shared" si="1"/>
        <v>0</v>
      </c>
      <c r="K12" s="187">
        <f t="shared" si="2"/>
        <v>273.15403748778539</v>
      </c>
    </row>
    <row r="13" spans="1:14" ht="15" customHeight="1" x14ac:dyDescent="0.2">
      <c r="A13" s="178" t="str">
        <f>'Renewables Report'!A44</f>
        <v>Cushman No. 2</v>
      </c>
      <c r="B13" s="179">
        <f>'Renewables Report'!B44</f>
        <v>0</v>
      </c>
      <c r="C13" s="180">
        <f>SUM('Renewables Report'!E44)</f>
        <v>0</v>
      </c>
      <c r="D13" s="158"/>
      <c r="E13" s="187" t="str">
        <f t="shared" si="0"/>
        <v/>
      </c>
      <c r="F13" s="265"/>
      <c r="G13" s="266"/>
      <c r="H13" s="267"/>
      <c r="I13" s="158"/>
      <c r="J13" s="187" t="str">
        <f t="shared" si="1"/>
        <v/>
      </c>
      <c r="K13" s="187">
        <f t="shared" si="2"/>
        <v>0</v>
      </c>
    </row>
    <row r="14" spans="1:14" ht="15" customHeight="1" x14ac:dyDescent="0.2">
      <c r="A14" s="178" t="str">
        <f>'Renewables Report'!A45</f>
        <v xml:space="preserve">              Reduced Butterfly Leakage</v>
      </c>
      <c r="B14" s="179">
        <f>'Renewables Report'!B45</f>
        <v>0</v>
      </c>
      <c r="C14" s="180">
        <f>SUM('Renewables Report'!E45)</f>
        <v>1900</v>
      </c>
      <c r="D14" s="158"/>
      <c r="E14" s="187">
        <f t="shared" si="0"/>
        <v>0</v>
      </c>
      <c r="F14" s="265"/>
      <c r="G14" s="266"/>
      <c r="H14" s="267"/>
      <c r="I14" s="158"/>
      <c r="J14" s="187">
        <f t="shared" si="1"/>
        <v>0</v>
      </c>
      <c r="K14" s="187">
        <f t="shared" si="2"/>
        <v>0</v>
      </c>
    </row>
    <row r="15" spans="1:14" ht="15" customHeight="1" x14ac:dyDescent="0.2">
      <c r="A15" s="178" t="str">
        <f>'Renewables Report'!A46</f>
        <v xml:space="preserve">                   Cushman NorthFork</v>
      </c>
      <c r="B15" s="179">
        <f>'Renewables Report'!B46</f>
        <v>0</v>
      </c>
      <c r="C15" s="180">
        <f>SUM('Renewables Report'!E46)</f>
        <v>0</v>
      </c>
      <c r="D15" s="158"/>
      <c r="E15" s="187" t="str">
        <f t="shared" si="0"/>
        <v/>
      </c>
      <c r="F15" s="265"/>
      <c r="G15" s="266"/>
      <c r="H15" s="267"/>
      <c r="I15" s="158"/>
      <c r="J15" s="187" t="str">
        <f t="shared" si="1"/>
        <v/>
      </c>
      <c r="K15" s="187">
        <f t="shared" si="2"/>
        <v>0</v>
      </c>
    </row>
    <row r="16" spans="1:14" ht="15" customHeight="1" x14ac:dyDescent="0.2">
      <c r="A16" s="178" t="str">
        <f>'Renewables Report'!A47</f>
        <v xml:space="preserve">                                      Unit 34</v>
      </c>
      <c r="B16" s="179">
        <f>'Renewables Report'!B47</f>
        <v>0</v>
      </c>
      <c r="C16" s="180">
        <f>SUM('Renewables Report'!E47)</f>
        <v>11500</v>
      </c>
      <c r="D16" s="158">
        <f>(C16/(SUM(C16:C17)))*22600</f>
        <v>12994.999999999998</v>
      </c>
      <c r="E16" s="187">
        <f t="shared" si="0"/>
        <v>1.1299999999999999</v>
      </c>
      <c r="F16" s="265" t="s">
        <v>249</v>
      </c>
      <c r="G16" s="266"/>
      <c r="H16" s="267"/>
      <c r="I16" s="158"/>
      <c r="J16" s="187">
        <f t="shared" si="1"/>
        <v>0</v>
      </c>
      <c r="K16" s="187">
        <f t="shared" si="2"/>
        <v>12994.999999999998</v>
      </c>
    </row>
    <row r="17" spans="1:11" ht="15" customHeight="1" x14ac:dyDescent="0.2">
      <c r="A17" s="178" t="str">
        <f>'Renewables Report'!A48</f>
        <v xml:space="preserve">                                      Unit 35</v>
      </c>
      <c r="B17" s="179">
        <f>'Renewables Report'!B48</f>
        <v>0</v>
      </c>
      <c r="C17" s="180">
        <f>SUM('Renewables Report'!E48)</f>
        <v>8500</v>
      </c>
      <c r="D17" s="158">
        <f>(C17/(SUM(C16:C17)))*22600</f>
        <v>9605</v>
      </c>
      <c r="E17" s="187">
        <f t="shared" si="0"/>
        <v>1.1299999999999999</v>
      </c>
      <c r="F17" s="265" t="s">
        <v>249</v>
      </c>
      <c r="G17" s="266"/>
      <c r="H17" s="267"/>
      <c r="I17" s="158"/>
      <c r="J17" s="187">
        <f t="shared" si="1"/>
        <v>0</v>
      </c>
      <c r="K17" s="187">
        <f t="shared" si="2"/>
        <v>9605</v>
      </c>
    </row>
    <row r="18" spans="1:11" ht="15" customHeight="1" x14ac:dyDescent="0.2">
      <c r="A18" s="178" t="str">
        <f>'Renewables Report'!A49</f>
        <v xml:space="preserve">                       LaGrande Unit No. 6</v>
      </c>
      <c r="B18" s="179">
        <f>'Renewables Report'!B49</f>
        <v>0</v>
      </c>
      <c r="C18" s="180">
        <f>SUM('Renewables Report'!E49)</f>
        <v>3300</v>
      </c>
      <c r="D18" s="158"/>
      <c r="E18" s="187"/>
      <c r="F18" s="265"/>
      <c r="G18" s="266"/>
      <c r="H18" s="267"/>
      <c r="I18" s="158"/>
      <c r="J18" s="187">
        <f t="shared" si="1"/>
        <v>0</v>
      </c>
      <c r="K18" s="187">
        <f t="shared" si="2"/>
        <v>0</v>
      </c>
    </row>
    <row r="19" spans="1:11" ht="15" customHeight="1" x14ac:dyDescent="0.2">
      <c r="A19" s="222" t="str">
        <f>'Renewables Report'!A50</f>
        <v>Grant PUD Wanapum/Priest Rapids</v>
      </c>
      <c r="B19" s="179">
        <f>'Renewables Report'!B50</f>
        <v>0</v>
      </c>
      <c r="C19" s="180">
        <f>'Renewables Report'!E50</f>
        <v>3442</v>
      </c>
      <c r="D19" s="158"/>
      <c r="E19" s="187"/>
      <c r="F19" s="265"/>
      <c r="G19" s="266"/>
      <c r="H19" s="267"/>
      <c r="I19" s="158"/>
      <c r="J19" s="187">
        <f t="shared" si="1"/>
        <v>0</v>
      </c>
      <c r="K19" s="187">
        <f t="shared" si="2"/>
        <v>0</v>
      </c>
    </row>
    <row r="20" spans="1:11" ht="15" customHeight="1" x14ac:dyDescent="0.2">
      <c r="A20" s="178" t="str">
        <f>'Renewables Report'!A51</f>
        <v>Deduction for ACS Sales</v>
      </c>
      <c r="B20" s="179">
        <f>'Renewables Report'!B50</f>
        <v>0</v>
      </c>
      <c r="C20" s="180">
        <f>'Renewables Report'!E51</f>
        <v>-9279</v>
      </c>
      <c r="D20" s="158">
        <v>-8584</v>
      </c>
      <c r="E20" s="187" t="str">
        <f t="shared" si="0"/>
        <v/>
      </c>
      <c r="F20" s="134" t="s">
        <v>250</v>
      </c>
      <c r="G20" s="135"/>
      <c r="H20" s="136"/>
      <c r="I20" s="158"/>
      <c r="J20" s="187" t="str">
        <f t="shared" si="1"/>
        <v/>
      </c>
      <c r="K20" s="187">
        <v>-8584</v>
      </c>
    </row>
    <row r="21" spans="1:11" ht="15" customHeight="1" x14ac:dyDescent="0.2">
      <c r="A21" s="178">
        <f>'Renewables Report'!A52</f>
        <v>0</v>
      </c>
      <c r="B21" s="179">
        <f>'Renewables Report'!B52</f>
        <v>0</v>
      </c>
      <c r="C21" s="180">
        <f>SUM('Renewables Report'!E52)</f>
        <v>0</v>
      </c>
      <c r="D21" s="158"/>
      <c r="E21" s="187" t="str">
        <f t="shared" si="0"/>
        <v/>
      </c>
      <c r="F21" s="265"/>
      <c r="G21" s="266"/>
      <c r="H21" s="267"/>
      <c r="I21" s="158"/>
      <c r="J21" s="187" t="str">
        <f t="shared" si="1"/>
        <v/>
      </c>
      <c r="K21" s="187">
        <f t="shared" si="2"/>
        <v>0</v>
      </c>
    </row>
    <row r="22" spans="1:11" ht="15" customHeight="1" x14ac:dyDescent="0.2">
      <c r="A22" s="178">
        <f>'Renewables Report'!A53</f>
        <v>0</v>
      </c>
      <c r="B22" s="179">
        <f>'Renewables Report'!B53</f>
        <v>0</v>
      </c>
      <c r="C22" s="180">
        <f>SUM('Renewables Report'!E53)</f>
        <v>0</v>
      </c>
      <c r="D22" s="158"/>
      <c r="E22" s="187" t="str">
        <f t="shared" si="0"/>
        <v/>
      </c>
      <c r="F22" s="265"/>
      <c r="G22" s="266"/>
      <c r="H22" s="267"/>
      <c r="I22" s="158"/>
      <c r="J22" s="187" t="str">
        <f t="shared" si="1"/>
        <v/>
      </c>
      <c r="K22" s="187">
        <f t="shared" si="2"/>
        <v>0</v>
      </c>
    </row>
    <row r="23" spans="1:11" ht="15" customHeight="1" x14ac:dyDescent="0.2">
      <c r="A23" s="178">
        <f>'Renewables Report'!A54</f>
        <v>0</v>
      </c>
      <c r="B23" s="179">
        <f>'Renewables Report'!B54</f>
        <v>0</v>
      </c>
      <c r="C23" s="180">
        <f>SUM('Renewables Report'!E54)</f>
        <v>0</v>
      </c>
      <c r="D23" s="158"/>
      <c r="E23" s="187" t="str">
        <f t="shared" si="0"/>
        <v/>
      </c>
      <c r="F23" s="265"/>
      <c r="G23" s="266"/>
      <c r="H23" s="267"/>
      <c r="I23" s="158"/>
      <c r="J23" s="187" t="str">
        <f t="shared" si="1"/>
        <v/>
      </c>
      <c r="K23" s="187">
        <f t="shared" si="2"/>
        <v>0</v>
      </c>
    </row>
    <row r="24" spans="1:11" ht="15" customHeight="1" x14ac:dyDescent="0.2">
      <c r="A24" s="178">
        <f>'Renewables Report'!A55</f>
        <v>0</v>
      </c>
      <c r="B24" s="179">
        <f>'Renewables Report'!B55</f>
        <v>0</v>
      </c>
      <c r="C24" s="180">
        <f>SUM('Renewables Report'!E55)</f>
        <v>0</v>
      </c>
      <c r="D24" s="158"/>
      <c r="E24" s="187" t="str">
        <f t="shared" si="0"/>
        <v/>
      </c>
      <c r="F24" s="265"/>
      <c r="G24" s="266"/>
      <c r="H24" s="267"/>
      <c r="I24" s="158"/>
      <c r="J24" s="187" t="str">
        <f t="shared" si="1"/>
        <v/>
      </c>
      <c r="K24" s="187">
        <f t="shared" si="2"/>
        <v>0</v>
      </c>
    </row>
    <row r="25" spans="1:11" ht="15" customHeight="1" x14ac:dyDescent="0.2">
      <c r="A25" s="178">
        <f>'Renewables Report'!A56</f>
        <v>0</v>
      </c>
      <c r="B25" s="179">
        <f>'Renewables Report'!B56</f>
        <v>0</v>
      </c>
      <c r="C25" s="180">
        <f>SUM('Renewables Report'!E56)</f>
        <v>0</v>
      </c>
      <c r="D25" s="158"/>
      <c r="E25" s="187" t="str">
        <f t="shared" si="0"/>
        <v/>
      </c>
      <c r="F25" s="265"/>
      <c r="G25" s="266"/>
      <c r="H25" s="267"/>
      <c r="I25" s="158"/>
      <c r="J25" s="187" t="str">
        <f t="shared" si="1"/>
        <v/>
      </c>
      <c r="K25" s="187">
        <f t="shared" si="2"/>
        <v>0</v>
      </c>
    </row>
    <row r="26" spans="1:11" ht="15" customHeight="1" x14ac:dyDescent="0.2">
      <c r="A26" s="178">
        <f>'Renewables Report'!A57</f>
        <v>0</v>
      </c>
      <c r="B26" s="179">
        <f>'Renewables Report'!B57</f>
        <v>0</v>
      </c>
      <c r="C26" s="180">
        <f>SUM('Renewables Report'!E57)</f>
        <v>0</v>
      </c>
      <c r="D26" s="158"/>
      <c r="E26" s="187" t="str">
        <f t="shared" si="0"/>
        <v/>
      </c>
      <c r="F26" s="265"/>
      <c r="G26" s="266"/>
      <c r="H26" s="267"/>
      <c r="I26" s="158"/>
      <c r="J26" s="187" t="str">
        <f t="shared" si="1"/>
        <v/>
      </c>
      <c r="K26" s="187">
        <f t="shared" si="2"/>
        <v>0</v>
      </c>
    </row>
    <row r="27" spans="1:11" ht="15" customHeight="1" x14ac:dyDescent="0.2">
      <c r="A27" s="178">
        <f>'Renewables Report'!A58</f>
        <v>0</v>
      </c>
      <c r="B27" s="179">
        <f>'Renewables Report'!B58</f>
        <v>0</v>
      </c>
      <c r="C27" s="180">
        <f>SUM('Renewables Report'!E58)</f>
        <v>0</v>
      </c>
      <c r="D27" s="158"/>
      <c r="E27" s="187" t="str">
        <f t="shared" si="0"/>
        <v/>
      </c>
      <c r="F27" s="265"/>
      <c r="G27" s="266"/>
      <c r="H27" s="267"/>
      <c r="I27" s="158"/>
      <c r="J27" s="187" t="str">
        <f t="shared" si="1"/>
        <v/>
      </c>
      <c r="K27" s="187">
        <f t="shared" si="2"/>
        <v>0</v>
      </c>
    </row>
    <row r="28" spans="1:11" ht="15" customHeight="1" x14ac:dyDescent="0.2">
      <c r="A28" s="181">
        <f>'Renewables Report'!A59</f>
        <v>0</v>
      </c>
      <c r="B28" s="182">
        <f>'Renewables Report'!B59</f>
        <v>0</v>
      </c>
      <c r="C28" s="183">
        <f>SUM('Renewables Report'!E59)</f>
        <v>0</v>
      </c>
      <c r="D28" s="159"/>
      <c r="E28" s="188" t="str">
        <f t="shared" si="0"/>
        <v/>
      </c>
      <c r="F28" s="275"/>
      <c r="G28" s="276"/>
      <c r="H28" s="277"/>
      <c r="I28" s="159"/>
      <c r="J28" s="188" t="str">
        <f t="shared" si="1"/>
        <v/>
      </c>
      <c r="K28" s="188">
        <f t="shared" si="2"/>
        <v>0</v>
      </c>
    </row>
    <row r="29" spans="1:11" ht="15" customHeight="1" x14ac:dyDescent="0.2">
      <c r="A29" s="184" t="s">
        <v>98</v>
      </c>
      <c r="B29" s="184"/>
      <c r="C29" s="185">
        <f>SUM(C9:C28)</f>
        <v>64391</v>
      </c>
      <c r="D29" s="189">
        <f>SUM(D9:D28)</f>
        <v>59570</v>
      </c>
      <c r="E29" s="189"/>
      <c r="F29" s="189"/>
      <c r="G29" s="189"/>
      <c r="H29" s="189"/>
      <c r="I29" s="189">
        <f>SUM(I9:I28)</f>
        <v>0</v>
      </c>
      <c r="J29" s="190"/>
      <c r="K29" s="189">
        <f>SUM(K9:K28)</f>
        <v>59570</v>
      </c>
    </row>
    <row r="30" spans="1:11" ht="15" customHeight="1" x14ac:dyDescent="0.2">
      <c r="D30" s="77"/>
      <c r="E30" s="77"/>
      <c r="F30" s="77"/>
      <c r="G30" s="77"/>
      <c r="H30" s="77"/>
      <c r="I30" s="77"/>
      <c r="J30" s="77"/>
      <c r="K30" s="77"/>
    </row>
    <row r="31" spans="1:11" ht="17.25" customHeight="1" x14ac:dyDescent="0.25">
      <c r="A31" s="150" t="s">
        <v>101</v>
      </c>
      <c r="B31" s="160"/>
      <c r="C31" s="151"/>
      <c r="D31" s="85" t="s">
        <v>4</v>
      </c>
      <c r="E31" s="290" t="str">
        <f>E5</f>
        <v>Tacoma Power</v>
      </c>
      <c r="F31" s="291"/>
      <c r="G31" s="292"/>
    </row>
    <row r="32" spans="1:11" ht="15" customHeight="1" x14ac:dyDescent="0.2">
      <c r="A32" s="160"/>
      <c r="B32" s="160"/>
      <c r="D32" s="85" t="s">
        <v>13</v>
      </c>
      <c r="E32" s="293">
        <v>2016</v>
      </c>
      <c r="F32" s="294"/>
      <c r="G32" s="295"/>
    </row>
    <row r="33" spans="1:11" ht="15" customHeight="1" x14ac:dyDescent="0.2">
      <c r="A33" s="85"/>
      <c r="B33" s="85"/>
      <c r="C33" s="85"/>
      <c r="D33" s="148"/>
      <c r="G33" s="161"/>
      <c r="H33" s="77"/>
    </row>
    <row r="34" spans="1:11" s="163" customFormat="1" x14ac:dyDescent="0.2">
      <c r="A34" s="85"/>
      <c r="B34" s="85"/>
      <c r="C34" s="85"/>
      <c r="D34" s="162"/>
      <c r="E34" s="162"/>
      <c r="F34" s="162"/>
      <c r="H34" s="162"/>
      <c r="I34" s="162"/>
      <c r="J34" s="162"/>
      <c r="K34" s="162"/>
    </row>
    <row r="35" spans="1:11" ht="38.25" x14ac:dyDescent="0.2">
      <c r="A35" s="153" t="s">
        <v>19</v>
      </c>
      <c r="B35" s="164" t="s">
        <v>31</v>
      </c>
      <c r="C35" s="165" t="s">
        <v>128</v>
      </c>
      <c r="D35" s="165" t="s">
        <v>106</v>
      </c>
      <c r="E35" s="156" t="s">
        <v>107</v>
      </c>
      <c r="F35" s="156" t="s">
        <v>108</v>
      </c>
      <c r="G35" s="285" t="s">
        <v>38</v>
      </c>
      <c r="H35" s="286"/>
      <c r="I35" s="286"/>
      <c r="J35" s="286"/>
      <c r="K35" s="287"/>
    </row>
    <row r="36" spans="1:11" ht="15" customHeight="1" x14ac:dyDescent="0.2">
      <c r="A36" s="191" t="str">
        <f>'Renewables Report'!A66</f>
        <v>Carryover RECS 2015</v>
      </c>
      <c r="B36" s="192">
        <f>'Renewables Report'!B66</f>
        <v>0</v>
      </c>
      <c r="C36" s="193">
        <f>'Renewables Report'!C66</f>
        <v>2015</v>
      </c>
      <c r="D36" s="177">
        <f>'Renewables Report'!G66</f>
        <v>181466</v>
      </c>
      <c r="E36" s="171">
        <v>1553742</v>
      </c>
      <c r="F36" s="203">
        <f>IF(D36&gt;0,E36/D36,"")</f>
        <v>8.5621659153780882</v>
      </c>
      <c r="G36" s="166"/>
      <c r="H36" s="77"/>
      <c r="I36" s="77"/>
      <c r="J36" s="77"/>
      <c r="K36" s="167"/>
    </row>
    <row r="37" spans="1:11" ht="15" customHeight="1" x14ac:dyDescent="0.2">
      <c r="A37" s="194" t="str">
        <f>'Renewables Report'!A67</f>
        <v xml:space="preserve">    BPA Tier I REC 2016</v>
      </c>
      <c r="B37" s="195">
        <f>'Renewables Report'!B67</f>
        <v>0</v>
      </c>
      <c r="C37" s="196">
        <f>'Renewables Report'!C67</f>
        <v>0</v>
      </c>
      <c r="D37" s="180">
        <f>'Renewables Report'!G67</f>
        <v>0</v>
      </c>
      <c r="E37" s="172"/>
      <c r="F37" s="204" t="str">
        <f t="shared" ref="F37:F60" si="3">IF(D37&gt;0,E37/D37,"")</f>
        <v/>
      </c>
      <c r="G37" s="166"/>
      <c r="H37" s="77"/>
      <c r="I37" s="77"/>
      <c r="J37" s="77"/>
      <c r="K37" s="167"/>
    </row>
    <row r="38" spans="1:11" ht="15" customHeight="1" x14ac:dyDescent="0.2">
      <c r="A38" s="221" t="str">
        <f>'Renewables Report'!A68</f>
        <v>Klondike I</v>
      </c>
      <c r="B38" s="195" t="str">
        <f>'Renewables Report'!B68</f>
        <v>W238</v>
      </c>
      <c r="C38" s="196">
        <f>'Renewables Report'!C68</f>
        <v>2016</v>
      </c>
      <c r="D38" s="180">
        <f>'Renewables Report'!G68</f>
        <v>2400</v>
      </c>
      <c r="E38" s="172"/>
      <c r="F38" s="204">
        <f t="shared" si="3"/>
        <v>0</v>
      </c>
      <c r="G38" s="166"/>
      <c r="H38" s="77"/>
      <c r="I38" s="77"/>
      <c r="J38" s="77"/>
      <c r="K38" s="167"/>
    </row>
    <row r="39" spans="1:11" ht="15" customHeight="1" x14ac:dyDescent="0.2">
      <c r="A39" s="221" t="str">
        <f>'Renewables Report'!A69</f>
        <v>Klondike III</v>
      </c>
      <c r="B39" s="195" t="str">
        <f>'Renewables Report'!B69</f>
        <v>W237</v>
      </c>
      <c r="C39" s="196">
        <f>'Renewables Report'!C69</f>
        <v>2016</v>
      </c>
      <c r="D39" s="180">
        <f>'Renewables Report'!G69</f>
        <v>5700</v>
      </c>
      <c r="E39" s="172"/>
      <c r="F39" s="204">
        <f t="shared" si="3"/>
        <v>0</v>
      </c>
      <c r="G39" s="166"/>
      <c r="H39" s="77"/>
      <c r="I39" s="77"/>
      <c r="J39" s="77"/>
      <c r="K39" s="167"/>
    </row>
    <row r="40" spans="1:11" ht="15" customHeight="1" x14ac:dyDescent="0.2">
      <c r="A40" s="221" t="str">
        <f>'Renewables Report'!A70</f>
        <v>Stateline 248</v>
      </c>
      <c r="B40" s="195" t="str">
        <f>'Renewables Report'!B70</f>
        <v>W248</v>
      </c>
      <c r="C40" s="196">
        <f>'Renewables Report'!C70</f>
        <v>2016</v>
      </c>
      <c r="D40" s="180">
        <f>'Renewables Report'!G70</f>
        <v>7800</v>
      </c>
      <c r="E40" s="172"/>
      <c r="F40" s="204">
        <f t="shared" si="3"/>
        <v>0</v>
      </c>
      <c r="G40" s="166"/>
      <c r="H40" s="77"/>
      <c r="I40" s="77"/>
      <c r="J40" s="77"/>
      <c r="K40" s="167"/>
    </row>
    <row r="41" spans="1:11" ht="15" customHeight="1" x14ac:dyDescent="0.2">
      <c r="A41" s="194" t="str">
        <f>'Renewables Report'!A71</f>
        <v xml:space="preserve">                                     Condon I</v>
      </c>
      <c r="B41" s="195" t="str">
        <f>'Renewables Report'!B71</f>
        <v>W774</v>
      </c>
      <c r="C41" s="196">
        <f>'Renewables Report'!C71</f>
        <v>2016</v>
      </c>
      <c r="D41" s="180">
        <f>'Renewables Report'!G71</f>
        <v>2000</v>
      </c>
      <c r="E41" s="172"/>
      <c r="F41" s="204">
        <f t="shared" si="3"/>
        <v>0</v>
      </c>
      <c r="G41" s="166"/>
      <c r="H41" s="77"/>
      <c r="I41" s="77"/>
      <c r="J41" s="77"/>
      <c r="K41" s="167"/>
    </row>
    <row r="42" spans="1:11" ht="15" customHeight="1" x14ac:dyDescent="0.2">
      <c r="A42" s="194" t="str">
        <f>'Renewables Report'!A72</f>
        <v xml:space="preserve">                                      Condon II</v>
      </c>
      <c r="B42" s="195" t="str">
        <f>'Renewables Report'!B72</f>
        <v>W833</v>
      </c>
      <c r="C42" s="196">
        <f>'Renewables Report'!C72</f>
        <v>2016</v>
      </c>
      <c r="D42" s="180">
        <f>'Renewables Report'!G72</f>
        <v>2400</v>
      </c>
      <c r="E42" s="172"/>
      <c r="F42" s="204">
        <f t="shared" si="3"/>
        <v>0</v>
      </c>
      <c r="G42" s="166"/>
      <c r="H42" s="77"/>
      <c r="I42" s="77"/>
      <c r="J42" s="77"/>
      <c r="K42" s="167"/>
    </row>
    <row r="43" spans="1:11" ht="15" customHeight="1" x14ac:dyDescent="0.2">
      <c r="A43" s="194" t="str">
        <f>'Renewables Report'!A73</f>
        <v xml:space="preserve">     Iberdrola REC 2016</v>
      </c>
      <c r="B43" s="195">
        <f>'Renewables Report'!B73</f>
        <v>0</v>
      </c>
      <c r="C43" s="196">
        <f>'Renewables Report'!C73</f>
        <v>0</v>
      </c>
      <c r="D43" s="180">
        <f>'Renewables Report'!G73</f>
        <v>0</v>
      </c>
      <c r="E43" s="172"/>
      <c r="F43" s="204" t="str">
        <f t="shared" si="3"/>
        <v/>
      </c>
      <c r="G43" s="166"/>
      <c r="H43" s="77"/>
      <c r="I43" s="77"/>
      <c r="J43" s="77"/>
      <c r="K43" s="167"/>
    </row>
    <row r="44" spans="1:11" ht="15" customHeight="1" x14ac:dyDescent="0.2">
      <c r="A44" s="194" t="str">
        <f>'Renewables Report'!A74</f>
        <v xml:space="preserve">                               Bennett Creek</v>
      </c>
      <c r="B44" s="195" t="str">
        <f>'Renewables Report'!B74</f>
        <v>W542</v>
      </c>
      <c r="C44" s="196">
        <f>'Renewables Report'!C74</f>
        <v>2016</v>
      </c>
      <c r="D44" s="180">
        <f>'Renewables Report'!G74</f>
        <v>26000</v>
      </c>
      <c r="E44" s="172">
        <f>(D44*19.75)</f>
        <v>513500</v>
      </c>
      <c r="F44" s="204">
        <f t="shared" si="3"/>
        <v>19.75</v>
      </c>
      <c r="G44" s="166"/>
      <c r="H44" s="77"/>
      <c r="I44" s="77"/>
      <c r="J44" s="77"/>
      <c r="K44" s="167"/>
    </row>
    <row r="45" spans="1:11" ht="15" customHeight="1" x14ac:dyDescent="0.2">
      <c r="A45" s="194" t="str">
        <f>'Renewables Report'!A75</f>
        <v xml:space="preserve">                               Hot Springs</v>
      </c>
      <c r="B45" s="195" t="str">
        <f>'Renewables Report'!B75</f>
        <v>W543</v>
      </c>
      <c r="C45" s="196">
        <f>'Renewables Report'!C75</f>
        <v>2016</v>
      </c>
      <c r="D45" s="180">
        <f>'Renewables Report'!G75</f>
        <v>25000</v>
      </c>
      <c r="E45" s="172">
        <f>(D45*19.75)</f>
        <v>493750</v>
      </c>
      <c r="F45" s="204">
        <f t="shared" si="3"/>
        <v>19.75</v>
      </c>
      <c r="G45" s="166"/>
      <c r="H45" s="77"/>
      <c r="I45" s="77"/>
      <c r="J45" s="77"/>
      <c r="K45" s="167"/>
    </row>
    <row r="46" spans="1:11" ht="15" customHeight="1" x14ac:dyDescent="0.2">
      <c r="A46" s="194" t="str">
        <f>'Renewables Report'!A76</f>
        <v xml:space="preserve">Idaho Wind Partners REC 2016  </v>
      </c>
      <c r="B46" s="195">
        <f>'Renewables Report'!B76</f>
        <v>0</v>
      </c>
      <c r="C46" s="196">
        <f>'Renewables Report'!C76</f>
        <v>0</v>
      </c>
      <c r="D46" s="180">
        <f>'Renewables Report'!G76</f>
        <v>0</v>
      </c>
      <c r="E46" s="172"/>
      <c r="F46" s="204" t="str">
        <f t="shared" si="3"/>
        <v/>
      </c>
      <c r="G46" s="166"/>
      <c r="H46" s="77"/>
      <c r="I46" s="77"/>
      <c r="J46" s="77"/>
      <c r="K46" s="167"/>
    </row>
    <row r="47" spans="1:11" ht="15" customHeight="1" x14ac:dyDescent="0.2">
      <c r="A47" s="223" t="str">
        <f>'Renewables Report'!A77</f>
        <v xml:space="preserve">                              Pilgrim Stage</v>
      </c>
      <c r="B47" s="195" t="str">
        <f>'Renewables Report'!B77</f>
        <v>W1884</v>
      </c>
      <c r="C47" s="196">
        <f>'Renewables Report'!C77</f>
        <v>2016</v>
      </c>
      <c r="D47" s="180">
        <f>'Renewables Report'!G77</f>
        <v>28000</v>
      </c>
      <c r="E47" s="172">
        <f>D47*4</f>
        <v>112000</v>
      </c>
      <c r="F47" s="204">
        <f t="shared" si="3"/>
        <v>4</v>
      </c>
      <c r="G47" s="166"/>
      <c r="H47" s="77"/>
      <c r="I47" s="77"/>
      <c r="J47" s="77"/>
      <c r="K47" s="167"/>
    </row>
    <row r="48" spans="1:11" ht="15" customHeight="1" x14ac:dyDescent="0.2">
      <c r="A48" s="221" t="str">
        <f>'Renewables Report'!A78</f>
        <v>Milner Dam</v>
      </c>
      <c r="B48" s="195" t="str">
        <f>'Renewables Report'!B78</f>
        <v>W1863</v>
      </c>
      <c r="C48" s="196">
        <f>'Renewables Report'!C78</f>
        <v>2016</v>
      </c>
      <c r="D48" s="180">
        <f>'Renewables Report'!G78</f>
        <v>47000</v>
      </c>
      <c r="E48" s="172">
        <f>D48*4</f>
        <v>188000</v>
      </c>
      <c r="F48" s="204">
        <f t="shared" si="3"/>
        <v>4</v>
      </c>
      <c r="G48" s="166"/>
      <c r="H48" s="77"/>
      <c r="I48" s="77"/>
      <c r="J48" s="77"/>
      <c r="K48" s="167"/>
    </row>
    <row r="49" spans="1:11" ht="15" customHeight="1" x14ac:dyDescent="0.2">
      <c r="A49" s="221" t="str">
        <f>'Renewables Report'!A79</f>
        <v>Burley Butte</v>
      </c>
      <c r="B49" s="195" t="str">
        <f>'Renewables Report'!B79</f>
        <v>W1864</v>
      </c>
      <c r="C49" s="196">
        <f>'Renewables Report'!C79</f>
        <v>2016</v>
      </c>
      <c r="D49" s="180">
        <f>'Renewables Report'!G79</f>
        <v>51000</v>
      </c>
      <c r="E49" s="172">
        <f>D49*4</f>
        <v>204000</v>
      </c>
      <c r="F49" s="204">
        <f t="shared" si="3"/>
        <v>4</v>
      </c>
      <c r="G49" s="166"/>
      <c r="H49" s="77"/>
      <c r="I49" s="77"/>
      <c r="J49" s="77"/>
      <c r="K49" s="167"/>
    </row>
    <row r="50" spans="1:11" ht="15" customHeight="1" x14ac:dyDescent="0.2">
      <c r="A50" s="194" t="str">
        <f>'Renewables Report'!A80</f>
        <v>Chelan PUD REC 2016</v>
      </c>
      <c r="B50" s="195">
        <f>'Renewables Report'!B80</f>
        <v>0</v>
      </c>
      <c r="C50" s="196">
        <f>'Renewables Report'!C80</f>
        <v>0</v>
      </c>
      <c r="D50" s="180">
        <f>'Renewables Report'!G80</f>
        <v>0</v>
      </c>
      <c r="E50" s="172"/>
      <c r="F50" s="204" t="str">
        <f t="shared" si="3"/>
        <v/>
      </c>
      <c r="G50" s="166"/>
      <c r="H50" s="77"/>
      <c r="I50" s="77"/>
      <c r="J50" s="77"/>
      <c r="K50" s="167"/>
    </row>
    <row r="51" spans="1:11" ht="15" customHeight="1" x14ac:dyDescent="0.2">
      <c r="A51" s="221" t="str">
        <f>'Renewables Report'!A81</f>
        <v>Nine Canyons</v>
      </c>
      <c r="B51" s="195" t="str">
        <f>'Renewables Report'!B81</f>
        <v>W684</v>
      </c>
      <c r="C51" s="196">
        <f>'Renewables Report'!C81</f>
        <v>2016</v>
      </c>
      <c r="D51" s="180">
        <f>'Renewables Report'!G81</f>
        <v>10000</v>
      </c>
      <c r="E51" s="172">
        <f>D51*6.25</f>
        <v>62500</v>
      </c>
      <c r="F51" s="204">
        <f t="shared" si="3"/>
        <v>6.25</v>
      </c>
      <c r="G51" s="166"/>
      <c r="H51" s="77"/>
      <c r="I51" s="77"/>
      <c r="J51" s="77"/>
      <c r="K51" s="167"/>
    </row>
    <row r="52" spans="1:11" ht="15" customHeight="1" x14ac:dyDescent="0.2">
      <c r="A52" s="221" t="str">
        <f>'Renewables Report'!A82</f>
        <v>Nine Canyons Phase 3</v>
      </c>
      <c r="B52" s="195" t="str">
        <f>'Renewables Report'!B82</f>
        <v>W697</v>
      </c>
      <c r="C52" s="196">
        <f>'Renewables Report'!C82</f>
        <v>2016</v>
      </c>
      <c r="D52" s="180">
        <f>'Renewables Report'!G82</f>
        <v>7000</v>
      </c>
      <c r="E52" s="172">
        <f>D52*6.25</f>
        <v>43750</v>
      </c>
      <c r="F52" s="204">
        <f t="shared" si="3"/>
        <v>6.25</v>
      </c>
      <c r="G52" s="166"/>
      <c r="H52" s="77"/>
      <c r="I52" s="77"/>
      <c r="J52" s="77"/>
      <c r="K52" s="167"/>
    </row>
    <row r="53" spans="1:11" ht="15" customHeight="1" x14ac:dyDescent="0.2">
      <c r="A53" s="194" t="str">
        <f>'Renewables Report'!A83</f>
        <v xml:space="preserve">Constellation/Exelon REC 2016  </v>
      </c>
      <c r="B53" s="195">
        <f>'Renewables Report'!B83</f>
        <v>0</v>
      </c>
      <c r="C53" s="196">
        <f>'Renewables Report'!C83</f>
        <v>2016</v>
      </c>
      <c r="D53" s="180">
        <f>'Renewables Report'!G83</f>
        <v>40000</v>
      </c>
      <c r="E53" s="172">
        <f>(D53*6.18)</f>
        <v>247200</v>
      </c>
      <c r="F53" s="204">
        <f t="shared" si="3"/>
        <v>6.18</v>
      </c>
      <c r="G53" s="166"/>
      <c r="H53" s="77"/>
      <c r="I53" s="77"/>
      <c r="J53" s="77"/>
      <c r="K53" s="167"/>
    </row>
    <row r="54" spans="1:11" ht="15" customHeight="1" x14ac:dyDescent="0.2">
      <c r="A54" s="194" t="str">
        <f>'Renewables Report'!A84</f>
        <v xml:space="preserve">Grays Harbor PUD #1 REC 2016  </v>
      </c>
      <c r="B54" s="195">
        <f>'Renewables Report'!B84</f>
        <v>0</v>
      </c>
      <c r="C54" s="196">
        <f>'Renewables Report'!C84</f>
        <v>2016</v>
      </c>
      <c r="D54" s="180">
        <f>'Renewables Report'!G84</f>
        <v>50000</v>
      </c>
      <c r="E54" s="172">
        <f>(D54*6)</f>
        <v>300000</v>
      </c>
      <c r="F54" s="204">
        <f t="shared" si="3"/>
        <v>6</v>
      </c>
      <c r="G54" s="166"/>
      <c r="H54" s="77"/>
      <c r="I54" s="77"/>
      <c r="J54" s="77"/>
      <c r="K54" s="167"/>
    </row>
    <row r="55" spans="1:11" ht="15" customHeight="1" x14ac:dyDescent="0.2">
      <c r="A55" s="194">
        <f>'Renewables Report'!A85</f>
        <v>0</v>
      </c>
      <c r="B55" s="195">
        <f>'Renewables Report'!B85</f>
        <v>0</v>
      </c>
      <c r="C55" s="196">
        <f>'Renewables Report'!C85</f>
        <v>0</v>
      </c>
      <c r="D55" s="180">
        <f>'Renewables Report'!G85</f>
        <v>0</v>
      </c>
      <c r="E55" s="172"/>
      <c r="F55" s="204" t="str">
        <f t="shared" si="3"/>
        <v/>
      </c>
      <c r="G55" s="166"/>
      <c r="H55" s="77"/>
      <c r="I55" s="77"/>
      <c r="J55" s="77"/>
      <c r="K55" s="167"/>
    </row>
    <row r="56" spans="1:11" ht="15" customHeight="1" x14ac:dyDescent="0.2">
      <c r="A56" s="194">
        <f>'Renewables Report'!A86</f>
        <v>0</v>
      </c>
      <c r="B56" s="195">
        <f>'Renewables Report'!B86</f>
        <v>0</v>
      </c>
      <c r="C56" s="196">
        <f>'Renewables Report'!C86</f>
        <v>0</v>
      </c>
      <c r="D56" s="180">
        <f>'Renewables Report'!G86</f>
        <v>0</v>
      </c>
      <c r="E56" s="172"/>
      <c r="F56" s="204" t="str">
        <f t="shared" si="3"/>
        <v/>
      </c>
      <c r="G56" s="166"/>
      <c r="H56" s="77"/>
      <c r="I56" s="77"/>
      <c r="J56" s="77"/>
      <c r="K56" s="167"/>
    </row>
    <row r="57" spans="1:11" ht="15" customHeight="1" x14ac:dyDescent="0.2">
      <c r="A57" s="194">
        <f>'Renewables Report'!A87</f>
        <v>0</v>
      </c>
      <c r="B57" s="195">
        <f>'Renewables Report'!B87</f>
        <v>0</v>
      </c>
      <c r="C57" s="196">
        <f>'Renewables Report'!C87</f>
        <v>0</v>
      </c>
      <c r="D57" s="180">
        <f>'Renewables Report'!G87</f>
        <v>0</v>
      </c>
      <c r="E57" s="172"/>
      <c r="F57" s="204" t="str">
        <f t="shared" si="3"/>
        <v/>
      </c>
      <c r="G57" s="166"/>
      <c r="H57" s="77"/>
      <c r="I57" s="77"/>
      <c r="J57" s="77"/>
      <c r="K57" s="167"/>
    </row>
    <row r="58" spans="1:11" ht="15" customHeight="1" x14ac:dyDescent="0.2">
      <c r="A58" s="194">
        <f>'Renewables Report'!A88</f>
        <v>0</v>
      </c>
      <c r="B58" s="195">
        <f>'Renewables Report'!B88</f>
        <v>0</v>
      </c>
      <c r="C58" s="196">
        <f>'Renewables Report'!C88</f>
        <v>0</v>
      </c>
      <c r="D58" s="180">
        <f>'Renewables Report'!G88</f>
        <v>0</v>
      </c>
      <c r="E58" s="172"/>
      <c r="F58" s="204" t="str">
        <f t="shared" si="3"/>
        <v/>
      </c>
      <c r="G58" s="166"/>
      <c r="H58" s="77"/>
      <c r="I58" s="77"/>
      <c r="J58" s="77"/>
      <c r="K58" s="167"/>
    </row>
    <row r="59" spans="1:11" ht="15" customHeight="1" x14ac:dyDescent="0.2">
      <c r="A59" s="194">
        <f>'Renewables Report'!A89</f>
        <v>0</v>
      </c>
      <c r="B59" s="195">
        <f>'Renewables Report'!B89</f>
        <v>0</v>
      </c>
      <c r="C59" s="196">
        <f>'Renewables Report'!C89</f>
        <v>0</v>
      </c>
      <c r="D59" s="180">
        <f>'Renewables Report'!G89</f>
        <v>0</v>
      </c>
      <c r="E59" s="172"/>
      <c r="F59" s="204" t="str">
        <f t="shared" si="3"/>
        <v/>
      </c>
      <c r="G59" s="166"/>
      <c r="H59" s="77"/>
      <c r="I59" s="77"/>
      <c r="J59" s="77"/>
      <c r="K59" s="167"/>
    </row>
    <row r="60" spans="1:11" ht="15" customHeight="1" x14ac:dyDescent="0.2">
      <c r="A60" s="197">
        <f>'Renewables Report'!A90</f>
        <v>0</v>
      </c>
      <c r="B60" s="198">
        <f>'Renewables Report'!B90</f>
        <v>0</v>
      </c>
      <c r="C60" s="199">
        <f>'Renewables Report'!C90</f>
        <v>0</v>
      </c>
      <c r="D60" s="200">
        <f>'Renewables Report'!G90</f>
        <v>0</v>
      </c>
      <c r="E60" s="173"/>
      <c r="F60" s="205" t="str">
        <f t="shared" si="3"/>
        <v/>
      </c>
      <c r="G60" s="166"/>
      <c r="H60" s="77"/>
      <c r="I60" s="77"/>
      <c r="J60" s="77"/>
      <c r="K60" s="167"/>
    </row>
    <row r="61" spans="1:11" ht="15" customHeight="1" x14ac:dyDescent="0.2">
      <c r="A61" s="184" t="s">
        <v>6</v>
      </c>
      <c r="B61" s="201"/>
      <c r="C61" s="201"/>
      <c r="D61" s="202"/>
      <c r="E61" s="189">
        <f>SUM(E36:E60)</f>
        <v>3718442</v>
      </c>
      <c r="F61" s="202"/>
      <c r="G61" s="168"/>
      <c r="H61" s="169"/>
      <c r="I61" s="169"/>
      <c r="J61" s="169"/>
      <c r="K61" s="170"/>
    </row>
  </sheetData>
  <mergeCells count="27">
    <mergeCell ref="G35:K35"/>
    <mergeCell ref="A1:K1"/>
    <mergeCell ref="A2:K2"/>
    <mergeCell ref="F21:H21"/>
    <mergeCell ref="E31:G31"/>
    <mergeCell ref="E32:G32"/>
    <mergeCell ref="E5:G5"/>
    <mergeCell ref="E6:G6"/>
    <mergeCell ref="F22:H22"/>
    <mergeCell ref="F23:H23"/>
    <mergeCell ref="F24:H24"/>
    <mergeCell ref="F25:H25"/>
    <mergeCell ref="F26:H26"/>
    <mergeCell ref="F27:H27"/>
    <mergeCell ref="F28:H28"/>
    <mergeCell ref="F8:H8"/>
    <mergeCell ref="F9:H9"/>
    <mergeCell ref="F10:H10"/>
    <mergeCell ref="F11:H11"/>
    <mergeCell ref="F12:H12"/>
    <mergeCell ref="F13:H13"/>
    <mergeCell ref="F19:H19"/>
    <mergeCell ref="F14:H14"/>
    <mergeCell ref="F15:H15"/>
    <mergeCell ref="F16:H16"/>
    <mergeCell ref="F17:H17"/>
    <mergeCell ref="F18:H18"/>
  </mergeCells>
  <pageMargins left="0.7" right="0.7" top="0.75" bottom="0.75" header="0.3" footer="0.3"/>
  <pageSetup scale="79" fitToHeight="0" orientation="landscape" r:id="rId1"/>
  <rowBreaks count="1" manualBreakCount="1">
    <brk id="29" max="16383" man="1"/>
  </rowBreaks>
  <ignoredErrors>
    <ignoredError sqref="D16:D17 D10:D12" unlockedFormula="1"/>
  </ignoredError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
  <sheetViews>
    <sheetView workbookViewId="0"/>
  </sheetViews>
  <sheetFormatPr defaultRowHeight="15" x14ac:dyDescent="0.25"/>
  <cols>
    <col min="1" max="1" width="36.140625" bestFit="1" customWidth="1"/>
    <col min="3" max="3" width="36.140625" bestFit="1" customWidth="1"/>
    <col min="12" max="12" width="10.5703125" customWidth="1"/>
  </cols>
  <sheetData>
    <row r="1" spans="1:86" x14ac:dyDescent="0.25">
      <c r="A1" t="s">
        <v>195</v>
      </c>
      <c r="B1" t="s">
        <v>75</v>
      </c>
      <c r="C1" t="s">
        <v>76</v>
      </c>
      <c r="D1" t="s">
        <v>77</v>
      </c>
      <c r="E1" t="s">
        <v>78</v>
      </c>
      <c r="F1" t="s">
        <v>79</v>
      </c>
      <c r="G1" t="s">
        <v>80</v>
      </c>
      <c r="H1" t="s">
        <v>81</v>
      </c>
      <c r="I1" t="s">
        <v>82</v>
      </c>
      <c r="J1" t="s">
        <v>83</v>
      </c>
      <c r="K1" t="s">
        <v>84</v>
      </c>
      <c r="L1" t="s">
        <v>102</v>
      </c>
      <c r="M1" t="s">
        <v>103</v>
      </c>
      <c r="N1" t="s">
        <v>85</v>
      </c>
      <c r="O1" t="s">
        <v>86</v>
      </c>
      <c r="P1" t="s">
        <v>87</v>
      </c>
      <c r="Q1" t="s">
        <v>88</v>
      </c>
      <c r="R1" t="s">
        <v>89</v>
      </c>
      <c r="S1" t="s">
        <v>90</v>
      </c>
      <c r="T1" t="s">
        <v>91</v>
      </c>
      <c r="U1" t="s">
        <v>92</v>
      </c>
      <c r="V1" t="s">
        <v>93</v>
      </c>
      <c r="W1" t="s">
        <v>94</v>
      </c>
      <c r="X1" t="s">
        <v>161</v>
      </c>
      <c r="Y1" t="s">
        <v>162</v>
      </c>
      <c r="Z1" t="s">
        <v>152</v>
      </c>
      <c r="AA1" t="s">
        <v>141</v>
      </c>
      <c r="AB1" t="s">
        <v>163</v>
      </c>
      <c r="AC1" t="s">
        <v>164</v>
      </c>
      <c r="AD1" t="s">
        <v>165</v>
      </c>
      <c r="AE1" t="s">
        <v>166</v>
      </c>
      <c r="AF1" t="s">
        <v>142</v>
      </c>
      <c r="AG1" t="s">
        <v>167</v>
      </c>
      <c r="AH1" t="s">
        <v>168</v>
      </c>
      <c r="AI1" t="s">
        <v>169</v>
      </c>
      <c r="AJ1" t="s">
        <v>153</v>
      </c>
      <c r="AK1" t="s">
        <v>154</v>
      </c>
      <c r="AL1" t="s">
        <v>155</v>
      </c>
      <c r="AM1" t="s">
        <v>156</v>
      </c>
      <c r="AN1" t="s">
        <v>157</v>
      </c>
      <c r="AO1" t="s">
        <v>158</v>
      </c>
      <c r="AP1" t="s">
        <v>159</v>
      </c>
      <c r="AQ1" t="s">
        <v>160</v>
      </c>
      <c r="AR1" t="s">
        <v>170</v>
      </c>
      <c r="AS1" t="s">
        <v>143</v>
      </c>
      <c r="AT1" t="s">
        <v>42</v>
      </c>
      <c r="AU1" t="s">
        <v>43</v>
      </c>
      <c r="AV1" t="s">
        <v>44</v>
      </c>
      <c r="AW1" t="s">
        <v>144</v>
      </c>
      <c r="AX1" t="s">
        <v>145</v>
      </c>
      <c r="AY1" t="s">
        <v>45</v>
      </c>
      <c r="AZ1" t="s">
        <v>51</v>
      </c>
      <c r="BA1" t="s">
        <v>146</v>
      </c>
      <c r="BB1" t="s">
        <v>46</v>
      </c>
      <c r="BC1" t="s">
        <v>47</v>
      </c>
      <c r="BD1" t="s">
        <v>48</v>
      </c>
      <c r="BE1" t="s">
        <v>52</v>
      </c>
      <c r="BF1" t="s">
        <v>53</v>
      </c>
      <c r="BG1" t="s">
        <v>54</v>
      </c>
      <c r="BH1" t="s">
        <v>55</v>
      </c>
      <c r="BI1" t="s">
        <v>56</v>
      </c>
      <c r="BJ1" t="s">
        <v>187</v>
      </c>
      <c r="BK1" t="s">
        <v>57</v>
      </c>
      <c r="BL1" t="s">
        <v>58</v>
      </c>
      <c r="BM1" t="s">
        <v>59</v>
      </c>
      <c r="BN1" t="s">
        <v>60</v>
      </c>
      <c r="BO1" t="s">
        <v>61</v>
      </c>
      <c r="BP1" t="s">
        <v>147</v>
      </c>
      <c r="BQ1" t="s">
        <v>148</v>
      </c>
      <c r="BR1" t="s">
        <v>104</v>
      </c>
      <c r="BS1" t="s">
        <v>149</v>
      </c>
      <c r="BT1" t="s">
        <v>62</v>
      </c>
      <c r="BU1" t="s">
        <v>63</v>
      </c>
      <c r="BV1" t="s">
        <v>64</v>
      </c>
      <c r="BW1" t="s">
        <v>65</v>
      </c>
      <c r="BX1" t="s">
        <v>66</v>
      </c>
      <c r="BY1" t="s">
        <v>67</v>
      </c>
      <c r="BZ1" t="s">
        <v>186</v>
      </c>
      <c r="CA1" t="s">
        <v>68</v>
      </c>
      <c r="CB1" t="s">
        <v>69</v>
      </c>
      <c r="CC1" t="s">
        <v>70</v>
      </c>
      <c r="CD1" t="s">
        <v>71</v>
      </c>
      <c r="CE1" t="s">
        <v>150</v>
      </c>
      <c r="CF1" t="s">
        <v>49</v>
      </c>
      <c r="CG1" t="s">
        <v>151</v>
      </c>
      <c r="CH1" t="s">
        <v>50</v>
      </c>
    </row>
    <row r="2" spans="1:86" x14ac:dyDescent="0.25">
      <c r="A2" t="str">
        <f>REN_Utility_Name</f>
        <v>Tacoma Power</v>
      </c>
      <c r="B2">
        <f>+CON_2014_Agriculture_Expend</f>
        <v>0</v>
      </c>
      <c r="C2">
        <f>+CON_2014_Agriculture_MWH</f>
        <v>0</v>
      </c>
      <c r="D2">
        <f>+CON_2014_Commercial_Expend</f>
        <v>4113425</v>
      </c>
      <c r="E2">
        <f>+CON_2014_Commercial_MWH</f>
        <v>19510</v>
      </c>
      <c r="F2">
        <f>+CON_2014_Distribution_Expend</f>
        <v>0</v>
      </c>
      <c r="G2">
        <f>+CON_2014_Distribution_MWH</f>
        <v>0</v>
      </c>
      <c r="H2">
        <f>+CON_2014_Expenditures</f>
        <v>12863734</v>
      </c>
      <c r="I2">
        <f>+CON_2014_Industrial_Expend</f>
        <v>1298976</v>
      </c>
      <c r="J2">
        <f>+CON_2014_Industrial_MWH</f>
        <v>6161</v>
      </c>
      <c r="K2">
        <f>+CON_2014_MWH</f>
        <v>61799</v>
      </c>
      <c r="L2">
        <f>+CON_2014_NEEA_Expend</f>
        <v>363812</v>
      </c>
      <c r="M2">
        <f>+CON_2014_NEEA_MWH</f>
        <v>22895</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1440985</v>
      </c>
      <c r="U2">
        <f>+CON_2014_Program2_Expend</f>
        <v>0</v>
      </c>
      <c r="V2">
        <f>+CON_2014_Residential_Expend</f>
        <v>5646536</v>
      </c>
      <c r="W2">
        <f>+CON_2014_Residential_MWH</f>
        <v>13233</v>
      </c>
      <c r="X2">
        <f>+CON_2015_Agriculture_Expend</f>
        <v>0</v>
      </c>
      <c r="Y2">
        <f>+CON_2015_Agriculture_MWH</f>
        <v>0</v>
      </c>
      <c r="Z2">
        <f>+CON_2015_Commercial_Expend</f>
        <v>4197059</v>
      </c>
      <c r="AA2">
        <f>+CON_2015_Commercial_MWH</f>
        <v>22614</v>
      </c>
      <c r="AB2">
        <f>+CON_2015_Distribution_Expend</f>
        <v>0</v>
      </c>
      <c r="AC2">
        <f>+CON_2015_Distribution_MWH</f>
        <v>0</v>
      </c>
      <c r="AD2">
        <f>+CON_2015_Expenditures</f>
        <v>13946803</v>
      </c>
      <c r="AE2">
        <f>+CON_2015_Industrial_Expend</f>
        <v>1325387</v>
      </c>
      <c r="AF2">
        <f>+CON_2015_Industrial_MWH</f>
        <v>7141</v>
      </c>
      <c r="AG2">
        <f>+CON_2015_MWH</f>
        <v>66137</v>
      </c>
      <c r="AH2">
        <f>+CON_2015_NEEA_Expend</f>
        <v>395400</v>
      </c>
      <c r="AI2">
        <f>+CON_2015_NEEA_MWH</f>
        <v>23459</v>
      </c>
      <c r="AJ2">
        <f>+CON_2015_OtherSector1_Expend</f>
        <v>0</v>
      </c>
      <c r="AK2">
        <f>+CON_2015_OtherSector1_MWH</f>
        <v>0</v>
      </c>
      <c r="AL2">
        <f>+CON_2015_OtherSector2_Expend</f>
        <v>0</v>
      </c>
      <c r="AM2">
        <f>+CON_2015_OtherSector2_MWH</f>
        <v>0</v>
      </c>
      <c r="AN2">
        <f>+CON_2015_Production_Expend</f>
        <v>0</v>
      </c>
      <c r="AO2">
        <f>+CON_2015_Production_MWH</f>
        <v>0</v>
      </c>
      <c r="AP2">
        <f>+CON_2015_Program1_Expend</f>
        <v>1267632</v>
      </c>
      <c r="AQ2">
        <f>+CON_2015_Program2_Expend</f>
        <v>0</v>
      </c>
      <c r="AR2">
        <f>+CON_2015_Residential_Expend</f>
        <v>6761325</v>
      </c>
      <c r="AS2">
        <f>+CON_2015_Residential_MWH</f>
        <v>12923</v>
      </c>
      <c r="AT2" t="str">
        <f>+CON_Contact_Name</f>
        <v>Jeff Stafford/Conservation Resources Management</v>
      </c>
      <c r="AU2" t="str">
        <f>+CON_Email</f>
        <v>jstafford@cityoftacoma.org</v>
      </c>
      <c r="AV2" t="str">
        <f>+CON_Phone</f>
        <v>(253) 502-8940</v>
      </c>
      <c r="AW2">
        <f>+CON_Potential_2015_2023</f>
        <v>354780</v>
      </c>
      <c r="AX2">
        <f>+CON_Potential_2016_2025</f>
        <v>409968</v>
      </c>
      <c r="AY2">
        <f>+CON_Report_Date</f>
        <v>42517</v>
      </c>
      <c r="AZ2">
        <f>+CON_Target_2014_2015</f>
        <v>70956</v>
      </c>
      <c r="BA2">
        <f>+CON_Target_2016_2017</f>
        <v>81993</v>
      </c>
      <c r="BB2" t="str">
        <f>+CON_Utility_Name</f>
        <v>Tacoma Power</v>
      </c>
      <c r="BC2" t="str">
        <f>+REN_Contact_Name</f>
        <v>John Walkowiak</v>
      </c>
      <c r="BD2" t="str">
        <f>+REN_Email</f>
        <v>jwalkowiak@cityoftacoma.org</v>
      </c>
      <c r="BE2">
        <f>+REN_ERR_ApprenticeLabor</f>
        <v>11367.6</v>
      </c>
      <c r="BF2">
        <f>+REN_ERR_Biodiesel</f>
        <v>0</v>
      </c>
      <c r="BG2">
        <f>+REN_ERR_Biomass</f>
        <v>0</v>
      </c>
      <c r="BH2">
        <f>+REN_ERR_Geothermal</f>
        <v>0</v>
      </c>
      <c r="BI2">
        <f>+REN_ERR_LandfillGas</f>
        <v>0</v>
      </c>
      <c r="BJ2">
        <f>REN_ERR_QBE</f>
        <v>0</v>
      </c>
      <c r="BK2">
        <f>+REN_ERR_SewageGas</f>
        <v>0</v>
      </c>
      <c r="BL2">
        <f>+REN_ERR_Solar</f>
        <v>0</v>
      </c>
      <c r="BM2">
        <f>+REN_ERR_Water</f>
        <v>64391</v>
      </c>
      <c r="BN2">
        <f>+REN_ERR_Wind</f>
        <v>0</v>
      </c>
      <c r="BO2">
        <f>+REN_ERR_WOT</f>
        <v>0</v>
      </c>
      <c r="BP2">
        <f>+REN_Expenditure_Amount_2016</f>
        <v>3778012</v>
      </c>
      <c r="BQ2">
        <f>+REN_Expenditure_Percent_2016</f>
        <v>1.1439645503165638E-2</v>
      </c>
      <c r="BR2">
        <f>+REN_Load_2014</f>
        <v>4729936</v>
      </c>
      <c r="BS2">
        <f>+REN_Load_2015</f>
        <v>4587347</v>
      </c>
      <c r="BT2">
        <f>+REN_REC_ApprenticeLabor</f>
        <v>0</v>
      </c>
      <c r="BU2">
        <f>+REN_REC_Biodiesel</f>
        <v>0</v>
      </c>
      <c r="BV2">
        <f>+REN_REC_Biomass</f>
        <v>50000</v>
      </c>
      <c r="BW2">
        <f>+REN_REC_DistributedGeneration</f>
        <v>0</v>
      </c>
      <c r="BX2">
        <f>+REN_REC_Geothermal</f>
        <v>0</v>
      </c>
      <c r="BY2">
        <f>+REN_REC_LandfillGas</f>
        <v>0</v>
      </c>
      <c r="BZ2">
        <f>REN_REC_QBE</f>
        <v>0</v>
      </c>
      <c r="CA2">
        <f>+REN_REC_SewageGas</f>
        <v>0</v>
      </c>
      <c r="CB2">
        <f>+REN_REC_Solar</f>
        <v>0</v>
      </c>
      <c r="CC2">
        <f>+REN_REC_Wind</f>
        <v>435766</v>
      </c>
      <c r="CD2">
        <f>+REN_REC_WOT</f>
        <v>0</v>
      </c>
      <c r="CE2">
        <f>+REN_RetailRevenueRequirement_2016</f>
        <v>330256038</v>
      </c>
      <c r="CF2">
        <f>+REN_Submittal_Date</f>
        <v>42517</v>
      </c>
      <c r="CG2">
        <f>+REN_Total_2016</f>
        <v>561524.6</v>
      </c>
      <c r="CH2" t="str">
        <f>+REN_Utility_Name</f>
        <v>Tacoma Power</v>
      </c>
    </row>
    <row r="6" spans="1:86" x14ac:dyDescent="0.25">
      <c r="A6" s="14" t="s">
        <v>14</v>
      </c>
    </row>
    <row r="7" spans="1:86" x14ac:dyDescent="0.25">
      <c r="A7" s="14" t="s">
        <v>15</v>
      </c>
    </row>
    <row r="8" spans="1:86" x14ac:dyDescent="0.25">
      <c r="A8" s="14" t="s">
        <v>172</v>
      </c>
    </row>
    <row r="9" spans="1:86" x14ac:dyDescent="0.25">
      <c r="A9" s="14" t="s">
        <v>175</v>
      </c>
    </row>
    <row r="10" spans="1:86" x14ac:dyDescent="0.25">
      <c r="A10" s="14" t="s">
        <v>176</v>
      </c>
    </row>
    <row r="11" spans="1:86" x14ac:dyDescent="0.25">
      <c r="A11" s="14" t="s">
        <v>173</v>
      </c>
    </row>
    <row r="12" spans="1:86" x14ac:dyDescent="0.25">
      <c r="A12" s="14" t="s">
        <v>16</v>
      </c>
    </row>
    <row r="13" spans="1:86" x14ac:dyDescent="0.25">
      <c r="A13" s="14" t="s">
        <v>23</v>
      </c>
    </row>
    <row r="14" spans="1:86" x14ac:dyDescent="0.25">
      <c r="A14" s="14" t="s">
        <v>17</v>
      </c>
    </row>
    <row r="15" spans="1:86" x14ac:dyDescent="0.25">
      <c r="A15" s="14" t="s">
        <v>171</v>
      </c>
    </row>
  </sheetData>
  <sheetProtection sheet="1" objects="1" scenarios="1"/>
  <dataValidations count="1">
    <dataValidation type="list" allowBlank="1" showInputMessage="1" showErrorMessage="1" sqref="D8">
      <formula1>$A$6:$A$15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A85828C6-02EF-4A65-B885-16B202DD00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schemas.openxmlformats.org/package/2006/metadata/core-properties"/>
    <ds:schemaRef ds:uri="http://schemas.microsoft.com/sharepoint/v3"/>
    <ds:schemaRef ds:uri="http://purl.org/dc/dcmitype/"/>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90</vt:i4>
      </vt:variant>
    </vt:vector>
  </HeadingPairs>
  <TitlesOfParts>
    <vt:vector size="96" baseType="lpstr">
      <vt:lpstr>Background</vt:lpstr>
      <vt:lpstr>Instructions - Revise 2014</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CON_2015_Agriculture_Expend</vt:lpstr>
      <vt:lpstr>CON_2015_Agriculture_MWH</vt:lpstr>
      <vt:lpstr>CON_2015_Commercial_Expend</vt:lpstr>
      <vt:lpstr>CON_2015_Commercial_MWH</vt:lpstr>
      <vt:lpstr>CON_2015_Distribution_Expend</vt:lpstr>
      <vt:lpstr>CON_2015_Distribution_MWH</vt:lpstr>
      <vt:lpstr>CON_2015_Expenditures</vt:lpstr>
      <vt:lpstr>CON_2015_Industrial_Expend</vt:lpstr>
      <vt:lpstr>CON_2015_Industrial_MWH</vt:lpstr>
      <vt:lpstr>CON_2015_MWH</vt:lpstr>
      <vt:lpstr>CON_2015_NEEA_Expend</vt:lpstr>
      <vt:lpstr>CON_2015_NEEA_MWH</vt:lpstr>
      <vt:lpstr>CON_2015_OtherSector1_Expend</vt:lpstr>
      <vt:lpstr>CON_2015_OtherSector1_MWH</vt:lpstr>
      <vt:lpstr>CON_2015_OtherSector2_Expend</vt:lpstr>
      <vt:lpstr>CON_2015_OtherSector2_MWH</vt:lpstr>
      <vt:lpstr>CON_2015_Production_Expend</vt:lpstr>
      <vt:lpstr>CON_2015_Production_MWH</vt:lpstr>
      <vt:lpstr>CON_2015_Program1_Expend</vt:lpstr>
      <vt:lpstr>CON_2015_Program2_Expend</vt:lpstr>
      <vt:lpstr>CON_2015_Residential_Expend</vt:lpstr>
      <vt:lpstr>CON_2015_Residential_MWH</vt:lpstr>
      <vt:lpstr>CON_Contact_Name</vt:lpstr>
      <vt:lpstr>CON_Email</vt:lpstr>
      <vt:lpstr>CON_Phone</vt:lpstr>
      <vt:lpstr>CON_Potential_2015_2023</vt:lpstr>
      <vt:lpstr>CON_Potential_2016_2025</vt:lpstr>
      <vt:lpstr>CON_Report_Date</vt:lpstr>
      <vt:lpstr>CON_Target_2014_2015</vt:lpstr>
      <vt:lpstr>CON_Target_2016_2017</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REN_ERR_QBE</vt:lpstr>
      <vt:lpstr>REN_ERR_SewageGas</vt:lpstr>
      <vt:lpstr>REN_ERR_Solar</vt:lpstr>
      <vt:lpstr>REN_ERR_Water</vt:lpstr>
      <vt:lpstr>REN_ERR_Wind</vt:lpstr>
      <vt:lpstr>REN_ERR_WOT</vt:lpstr>
      <vt:lpstr>REN_Expenditure_Amount_2016</vt:lpstr>
      <vt:lpstr>REN_Expenditure_Percent_2016</vt:lpstr>
      <vt:lpstr>REN_Load_2014</vt:lpstr>
      <vt:lpstr>REN_Load_2015</vt:lpstr>
      <vt:lpstr>REN_REC_ApprenticeLabor</vt:lpstr>
      <vt:lpstr>REN_REC_Biodiesel</vt:lpstr>
      <vt:lpstr>REN_REC_Biomass</vt:lpstr>
      <vt:lpstr>REN_REC_DistributedGeneration</vt:lpstr>
      <vt:lpstr>REN_REC_Geothermal</vt:lpstr>
      <vt:lpstr>REN_REC_LandfillGas</vt:lpstr>
      <vt:lpstr>REN_REC_QBE</vt:lpstr>
      <vt:lpstr>REN_REC_SewageGas</vt:lpstr>
      <vt:lpstr>REN_REC_Solar</vt:lpstr>
      <vt:lpstr>REN_REC_Wind</vt:lpstr>
      <vt:lpstr>REN_REC_WOT</vt:lpstr>
      <vt:lpstr>REN_RetailRevenueRequirement_2016</vt:lpstr>
      <vt:lpstr>REN_Submittal_Date</vt:lpstr>
      <vt:lpstr>REN_Total_2016</vt:lpstr>
      <vt:lpstr>REN_Utility_Name</vt:lpstr>
      <vt:lpstr>ResourceType</vt:lpstr>
      <vt:lpstr>ResourceType_REC</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2016 Report Workbook for Utilities</dc:title>
  <dc:creator>Glenn Blackmon</dc:creator>
  <cp:keywords>EIA 2014 Report Workbook for Utilities</cp:keywords>
  <cp:lastModifiedBy>Walkowiak, John</cp:lastModifiedBy>
  <cp:lastPrinted>2016-04-13T23:12:49Z</cp:lastPrinted>
  <dcterms:created xsi:type="dcterms:W3CDTF">2012-03-20T21:01:26Z</dcterms:created>
  <dcterms:modified xsi:type="dcterms:W3CDTF">2016-05-27T22:21:08Z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