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30" yWindow="30" windowWidth="15030" windowHeight="6015" tabRatio="719" activeTab="5"/>
  </bookViews>
  <sheets>
    <sheet name="Instructions - 2015" sheetId="21" r:id="rId1"/>
    <sheet name="Instructions - Revise 2013" sheetId="20" r:id="rId2"/>
    <sheet name="Conservation Report" sheetId="24" r:id="rId3"/>
    <sheet name="Renewables Report" sheetId="16" r:id="rId4"/>
    <sheet name="Renewable Cost Report" sheetId="23" r:id="rId5"/>
    <sheet name="Data" sheetId="19" r:id="rId6"/>
  </sheets>
  <externalReferences>
    <externalReference r:id="rId7"/>
    <externalReference r:id="rId8"/>
  </externalReferences>
  <definedNames>
    <definedName name="CON_2014_Agriculture_Expend">'Conservation Report'!$E$20</definedName>
    <definedName name="CON_2014_Agriculture_MWH">'Conservation Report'!$D$20</definedName>
    <definedName name="CON_2014_Commercial_Expend" localSheetId="2">'Conservation Report'!$E$18</definedName>
    <definedName name="CON_2014_Commercial_Expend">'Conservation Report'!$E$18</definedName>
    <definedName name="CON_2014_Commercial_MWH" localSheetId="2">'Conservation Report'!$D$18</definedName>
    <definedName name="CON_2014_Commercial_MWH">'Conservation Report'!$D$18</definedName>
    <definedName name="CON_2014_Distribution_Expend" localSheetId="2">'Conservation Report'!$E$21</definedName>
    <definedName name="CON_2014_Distribution_Expend">'Conservation Report'!$E$21</definedName>
    <definedName name="CON_2014_Distribution_MWH" localSheetId="2">'Conservation Report'!$D$21</definedName>
    <definedName name="CON_2014_Distribution_MWH">'Conservation Report'!$D$21</definedName>
    <definedName name="CON_2014_Expenditures" localSheetId="2">'Conservation Report'!$E$29</definedName>
    <definedName name="CON_2014_Expenditures">'Conservation Report'!$E$29</definedName>
    <definedName name="CON_2014_Industrial_Expend" localSheetId="2">'Conservation Report'!$E$19</definedName>
    <definedName name="CON_2014_Industrial_Expend">'Conservation Report'!$E$19</definedName>
    <definedName name="CON_2014_Industrial_MWH" localSheetId="2">'Conservation Report'!$D$19</definedName>
    <definedName name="CON_2014_Industrial_MWH">'Conservation Report'!$D$19</definedName>
    <definedName name="CON_2014_MWH" localSheetId="2">'Conservation Report'!$D$29</definedName>
    <definedName name="CON_2014_MWH">'Conservation Report'!$D$29</definedName>
    <definedName name="CON_2014_NEEA_Expend" localSheetId="2">'Conservation Report'!$E$23</definedName>
    <definedName name="CON_2014_NEEA_Expend">'Conservation Report'!$E$23</definedName>
    <definedName name="CON_2014_NEEA_MWH" localSheetId="2">'Conservation Report'!$D$23</definedName>
    <definedName name="CON_2014_NEEA_MWH">'Conservation Report'!$D$23</definedName>
    <definedName name="CON_2014_OtherSector1_Expend" localSheetId="2">'Conservation Report'!$E$24</definedName>
    <definedName name="CON_2014_OtherSector1_Expend">'Conservation Report'!$E$24</definedName>
    <definedName name="CON_2014_OtherSector1_MWH" localSheetId="2">'Conservation Report'!$D$24</definedName>
    <definedName name="CON_2014_OtherSector1_MWH">'Conservation Report'!$D$24</definedName>
    <definedName name="CON_2014_OtherSector2_Expend" localSheetId="2">'Conservation Report'!$E$25</definedName>
    <definedName name="CON_2014_OtherSector2_Expend">'Conservation Report'!$E$25</definedName>
    <definedName name="CON_2014_OtherSector2_MWH" localSheetId="2">'Conservation Report'!$D$25</definedName>
    <definedName name="CON_2014_OtherSector2_MWH">'Conservation Report'!$D$25</definedName>
    <definedName name="CON_2014_Production_Expend" localSheetId="2">'Conservation Report'!$E$22</definedName>
    <definedName name="CON_2014_Production_Expend">'Conservation Report'!$E$22</definedName>
    <definedName name="CON_2014_Production_MWH" localSheetId="2">'Conservation Report'!$D$22</definedName>
    <definedName name="CON_2014_Production_MWH">'Conservation Report'!$D$22</definedName>
    <definedName name="CON_2014_Program1_Expend" localSheetId="2">'Conservation Report'!$E$27</definedName>
    <definedName name="CON_2014_Program1_Expend">'Conservation Report'!$E$27</definedName>
    <definedName name="CON_2014_Program2_Expend" localSheetId="2">'Conservation Report'!$E$28</definedName>
    <definedName name="CON_2014_Program2_Expend">'Conservation Report'!$E$28</definedName>
    <definedName name="CON_2014_Residential_Expend" localSheetId="2">'Conservation Report'!$E$17</definedName>
    <definedName name="CON_2014_Residential_Expend">'Conservation Report'!$E$17</definedName>
    <definedName name="CON_2014_Residential_MWH" localSheetId="2">'Conservation Report'!$D$17</definedName>
    <definedName name="CON_2014_Residential_MWH">'Conservation Report'!$D$17</definedName>
    <definedName name="CON_Contact_Name" localSheetId="2">'Conservation Report'!$C$5</definedName>
    <definedName name="CON_Contact_Name">'Conservation Report'!$C$5:$E$5</definedName>
    <definedName name="CON_Email" localSheetId="2">'Conservation Report'!$C$7</definedName>
    <definedName name="CON_Email">'Conservation Report'!$C$7:$E$7</definedName>
    <definedName name="CON_Phone" localSheetId="2">'Conservation Report'!$C$6</definedName>
    <definedName name="CON_Phone">'Conservation Report'!$C$6:$E$6</definedName>
    <definedName name="CON_Potential_2014_2023" localSheetId="2">'Conservation Report'!$D$12</definedName>
    <definedName name="CON_Potential_2014_2023">'Conservation Report'!$D$12</definedName>
    <definedName name="CON_Report_Date" localSheetId="2">'Conservation Report'!$C$4</definedName>
    <definedName name="CON_Report_Date">'Conservation Report'!$C$4:$E$4</definedName>
    <definedName name="CON_Target_2014_2015" localSheetId="2">'Conservation Report'!$E$12</definedName>
    <definedName name="CON_Target_2014_2015">'Conservation Report'!$E$12</definedName>
    <definedName name="CON_Utility_Name" localSheetId="2">'Conservation Report'!$C$3</definedName>
    <definedName name="CON_Utility_Name" localSheetId="0">'[1]Conservation Report'!$C$3:$E$3</definedName>
    <definedName name="CON_Utility_Name">'Conservation Report'!$C$3:$E$3</definedName>
    <definedName name="_xlnm.Print_Area" localSheetId="2">'Conservation Report'!$A$1:$J$53</definedName>
    <definedName name="_xlnm.Print_Area" localSheetId="4">'Renewable Cost Report'!$B$1:$L$77</definedName>
    <definedName name="_xlnm.Print_Area" localSheetId="3">'Renewables Report'!$A$1:$O$136</definedName>
    <definedName name="REN_Contact_Name" localSheetId="2">'[2]Renewables Report'!$C$5</definedName>
    <definedName name="REN_Contact_Name">'Renewables Report'!$C$5</definedName>
    <definedName name="REN_Email" localSheetId="2">'[2]Renewables Report'!$C$7</definedName>
    <definedName name="REN_Email">'Renewables Report'!$C$7</definedName>
    <definedName name="REN_ERR_ApprenticeLabor" localSheetId="2">'[2]Renewables Report'!$L$18</definedName>
    <definedName name="REN_ERR_ApprenticeLabor">'Renewables Report'!$L$18</definedName>
    <definedName name="REN_ERR_Biodiesel" localSheetId="2">'[2]Renewables Report'!$J$18</definedName>
    <definedName name="REN_ERR_Biodiesel">'Renewables Report'!$J$18</definedName>
    <definedName name="REN_ERR_Biomass" localSheetId="2">'[2]Renewables Report'!$K$18</definedName>
    <definedName name="REN_ERR_Biomass">'Renewables Report'!$K$18</definedName>
    <definedName name="REN_ERR_Geothermal" localSheetId="2">'[2]Renewables Report'!$F$18</definedName>
    <definedName name="REN_ERR_Geothermal">'Renewables Report'!$F$18</definedName>
    <definedName name="REN_ERR_LandfillGas" localSheetId="2">'[2]Renewables Report'!$G$18</definedName>
    <definedName name="REN_ERR_LandfillGas">'Renewables Report'!$G$18</definedName>
    <definedName name="REN_ERR_SewageGas" localSheetId="2">'[2]Renewables Report'!$I$18</definedName>
    <definedName name="REN_ERR_SewageGas">'Renewables Report'!$I$18</definedName>
    <definedName name="REN_ERR_Solar" localSheetId="2">'[2]Renewables Report'!$E$18</definedName>
    <definedName name="REN_ERR_Solar">'Renewables Report'!$E$18</definedName>
    <definedName name="REN_ERR_Water" localSheetId="2">'[2]Renewables Report'!$C$18</definedName>
    <definedName name="REN_ERR_Water">'Renewables Report'!$C$18</definedName>
    <definedName name="REN_ERR_Wind" localSheetId="2">'[2]Renewables Report'!$D$18</definedName>
    <definedName name="REN_ERR_Wind">'Renewables Report'!$D$18</definedName>
    <definedName name="REN_ERR_WOT" localSheetId="2">'[2]Renewables Report'!$H$18</definedName>
    <definedName name="REN_ERR_WOT">'Renewables Report'!$H$18</definedName>
    <definedName name="REN_Expenditure_Amount_2015" localSheetId="2">'[2]Renewables Report'!$N$11</definedName>
    <definedName name="REN_Expenditure_Amount_2015">'Renewables Report'!$N$11</definedName>
    <definedName name="REN_Expenditure_Percent_2015" localSheetId="2">'[2]Renewables Report'!$N$13</definedName>
    <definedName name="REN_Expenditure_Percent_2015">'Renewables Report'!$N$13</definedName>
    <definedName name="REN_Load_2013" localSheetId="2">'[2]Renewables Report'!$N$3</definedName>
    <definedName name="REN_Load_2013">'Renewables Report'!$N$3</definedName>
    <definedName name="REN_Load_2014" localSheetId="2">'[2]Renewables Report'!$N$4</definedName>
    <definedName name="REN_Load_2014">'Renewables Report'!$N$4</definedName>
    <definedName name="REN_REC_ApprenticeLabor" localSheetId="2">'[2]Renewables Report'!$L$19</definedName>
    <definedName name="REN_REC_ApprenticeLabor">'Renewables Report'!$L$19</definedName>
    <definedName name="REN_REC_Biodiesel" localSheetId="2">'[2]Renewables Report'!$J$19</definedName>
    <definedName name="REN_REC_Biodiesel">'Renewables Report'!$J$19</definedName>
    <definedName name="REN_REC_Biomass" localSheetId="2">'[2]Renewables Report'!$K$19</definedName>
    <definedName name="REN_REC_Biomass">'Renewables Report'!$K$19</definedName>
    <definedName name="REN_REC_DistributedGeneration" localSheetId="2">'[2]Renewables Report'!$M$19</definedName>
    <definedName name="REN_REC_DistributedGeneration">'Renewables Report'!$M$19</definedName>
    <definedName name="REN_REC_Geothermal" localSheetId="2">'[2]Renewables Report'!$F$19</definedName>
    <definedName name="REN_REC_Geothermal">'Renewables Report'!$F$19</definedName>
    <definedName name="REN_REC_LandfillGas" localSheetId="2">'[2]Renewables Report'!$G$19</definedName>
    <definedName name="REN_REC_LandfillGas">'Renewables Report'!$G$19</definedName>
    <definedName name="REN_REC_SewageGas" localSheetId="2">'[2]Renewables Report'!$I$19</definedName>
    <definedName name="REN_REC_SewageGas">'Renewables Report'!$I$19</definedName>
    <definedName name="REN_REC_Solar" localSheetId="2">'[2]Renewables Report'!$E$19</definedName>
    <definedName name="REN_REC_Solar">'Renewables Report'!$E$19</definedName>
    <definedName name="REN_REC_Wind" localSheetId="2">'[2]Renewables Report'!$D$19</definedName>
    <definedName name="REN_REC_Wind">'Renewables Report'!$D$19</definedName>
    <definedName name="REN_REC_WOT" localSheetId="2">'[2]Renewables Report'!$H$19</definedName>
    <definedName name="REN_REC_WOT">'Renewables Report'!$H$19</definedName>
    <definedName name="REN_RetailRevenueRequirement_2015" localSheetId="2">'[2]Renewables Report'!$N$12</definedName>
    <definedName name="REN_RetailRevenueRequirement_2015">'Renewables Report'!$N$12</definedName>
    <definedName name="REN_Submittal_Date" localSheetId="2">'[2]Renewables Report'!$C$4</definedName>
    <definedName name="REN_Submittal_Date">'Renewables Report'!$C$4</definedName>
    <definedName name="REN_Total_2015" localSheetId="2">'[2]Renewables Report'!$N$8</definedName>
    <definedName name="REN_Total_2015">'Renewables Report'!$N$8</definedName>
    <definedName name="REN_Utility_Name" localSheetId="2">'[2]Renewables Report'!$C$3</definedName>
    <definedName name="REN_Utility_Name">'Renewables Report'!$C$3</definedName>
  </definedNames>
  <calcPr calcId="145621"/>
</workbook>
</file>

<file path=xl/calcChain.xml><?xml version="1.0" encoding="utf-8"?>
<calcChain xmlns="http://schemas.openxmlformats.org/spreadsheetml/2006/main">
  <c r="D2" i="19" l="1"/>
  <c r="B2" i="19"/>
  <c r="C31" i="24" l="1"/>
  <c r="E29" i="24"/>
  <c r="D29" i="24"/>
  <c r="N5" i="16" l="1"/>
  <c r="E37" i="23" l="1"/>
  <c r="E38" i="23"/>
  <c r="E39" i="23"/>
  <c r="E40" i="23"/>
  <c r="E41" i="23"/>
  <c r="E42" i="23"/>
  <c r="E43" i="23"/>
  <c r="E44" i="23"/>
  <c r="E45" i="23"/>
  <c r="E46" i="23"/>
  <c r="E47" i="23"/>
  <c r="E48" i="23"/>
  <c r="E49" i="23"/>
  <c r="E50" i="23"/>
  <c r="E51" i="23"/>
  <c r="E52" i="23"/>
  <c r="E53" i="23"/>
  <c r="E54" i="23"/>
  <c r="E55" i="23"/>
  <c r="E56" i="23"/>
  <c r="E57" i="23"/>
  <c r="E58" i="23"/>
  <c r="E59" i="23"/>
  <c r="E36" i="23"/>
  <c r="E35" i="23"/>
  <c r="G36" i="23" l="1"/>
  <c r="L7" i="23"/>
  <c r="G37" i="23"/>
  <c r="G38" i="23"/>
  <c r="G39" i="23"/>
  <c r="G40" i="23"/>
  <c r="G41" i="23"/>
  <c r="G42" i="23"/>
  <c r="G43" i="23"/>
  <c r="G44" i="23"/>
  <c r="G45" i="23"/>
  <c r="G46" i="23"/>
  <c r="G47" i="23"/>
  <c r="G48" i="23"/>
  <c r="G49" i="23"/>
  <c r="G50" i="23"/>
  <c r="G51" i="23"/>
  <c r="G52" i="23"/>
  <c r="G53" i="23"/>
  <c r="G54" i="23"/>
  <c r="G55" i="23"/>
  <c r="G56" i="23"/>
  <c r="G57" i="23"/>
  <c r="G58" i="23"/>
  <c r="G59" i="23"/>
  <c r="L27" i="23" l="1"/>
  <c r="L26" i="23"/>
  <c r="L25" i="23"/>
  <c r="L24" i="23"/>
  <c r="L23" i="23"/>
  <c r="L22" i="23"/>
  <c r="L21" i="23"/>
  <c r="L20" i="23"/>
  <c r="L19" i="23"/>
  <c r="L18" i="23"/>
  <c r="L17" i="23"/>
  <c r="L16" i="23"/>
  <c r="L15" i="23"/>
  <c r="L14" i="23"/>
  <c r="L13" i="23"/>
  <c r="L12" i="23"/>
  <c r="L11" i="23"/>
  <c r="L10" i="23"/>
  <c r="L9" i="23"/>
  <c r="L8" i="23"/>
  <c r="BE2" i="19"/>
  <c r="CE2" i="19" l="1"/>
  <c r="CC2" i="19"/>
  <c r="BR2" i="19"/>
  <c r="BQ2" i="19"/>
  <c r="BH2" i="19"/>
  <c r="BF2" i="19"/>
  <c r="AT2" i="19"/>
  <c r="AS2" i="19"/>
  <c r="AF2" i="19"/>
  <c r="AE2" i="19"/>
  <c r="AD2" i="19"/>
  <c r="AC2" i="19"/>
  <c r="AB2" i="19"/>
  <c r="AA2" i="19"/>
  <c r="Z2" i="19"/>
  <c r="Y2" i="19"/>
  <c r="X2" i="19"/>
  <c r="W2" i="19"/>
  <c r="V2" i="19"/>
  <c r="U2" i="19"/>
  <c r="T2" i="19"/>
  <c r="S2" i="19"/>
  <c r="R2" i="19"/>
  <c r="Q2" i="19"/>
  <c r="P2" i="19"/>
  <c r="O2" i="19"/>
  <c r="N2" i="19"/>
  <c r="M2" i="19"/>
  <c r="L2" i="19"/>
  <c r="J2" i="19"/>
  <c r="I2" i="19"/>
  <c r="G2" i="19"/>
  <c r="F2" i="19"/>
  <c r="E2" i="19"/>
  <c r="C2" i="19"/>
  <c r="F60" i="23"/>
  <c r="D59" i="23"/>
  <c r="C59" i="23"/>
  <c r="D58" i="23"/>
  <c r="C58" i="23"/>
  <c r="D57" i="23"/>
  <c r="C57" i="23"/>
  <c r="D56" i="23"/>
  <c r="C56" i="23"/>
  <c r="D55" i="23"/>
  <c r="C55" i="23"/>
  <c r="D54" i="23"/>
  <c r="C54" i="23"/>
  <c r="D53" i="23"/>
  <c r="C53" i="23"/>
  <c r="D52" i="23"/>
  <c r="C52" i="23"/>
  <c r="D51" i="23"/>
  <c r="C51" i="23"/>
  <c r="D50" i="23"/>
  <c r="C50" i="23"/>
  <c r="D49" i="23"/>
  <c r="C49" i="23"/>
  <c r="D48" i="23"/>
  <c r="C48" i="23"/>
  <c r="D47" i="23"/>
  <c r="C47" i="23"/>
  <c r="D46" i="23"/>
  <c r="C46" i="23"/>
  <c r="D45" i="23"/>
  <c r="C45" i="23"/>
  <c r="D44" i="23"/>
  <c r="C44" i="23"/>
  <c r="D43" i="23"/>
  <c r="C43" i="23"/>
  <c r="D42" i="23"/>
  <c r="C42" i="23"/>
  <c r="D41" i="23"/>
  <c r="C41" i="23"/>
  <c r="D40" i="23"/>
  <c r="C40" i="23"/>
  <c r="D39" i="23"/>
  <c r="C39" i="23"/>
  <c r="D38" i="23"/>
  <c r="C38" i="23"/>
  <c r="D37" i="23"/>
  <c r="C37" i="23"/>
  <c r="D36" i="23"/>
  <c r="C36" i="23"/>
  <c r="D35" i="23"/>
  <c r="C35" i="23"/>
  <c r="B59" i="23"/>
  <c r="B58" i="23"/>
  <c r="B57" i="23"/>
  <c r="B56" i="23"/>
  <c r="B55" i="23"/>
  <c r="B54" i="23"/>
  <c r="B53" i="23"/>
  <c r="B52" i="23"/>
  <c r="B51" i="23"/>
  <c r="B50" i="23"/>
  <c r="B49" i="23"/>
  <c r="B48" i="23"/>
  <c r="B47" i="23"/>
  <c r="B46" i="23"/>
  <c r="B45" i="23"/>
  <c r="B44" i="23"/>
  <c r="B43" i="23"/>
  <c r="B42" i="23"/>
  <c r="B41" i="23"/>
  <c r="B40" i="23"/>
  <c r="B39" i="23"/>
  <c r="B38" i="23"/>
  <c r="B37" i="23"/>
  <c r="B36" i="23"/>
  <c r="B35" i="23"/>
  <c r="E28" i="23"/>
  <c r="J28" i="23"/>
  <c r="D8" i="23"/>
  <c r="F8" i="23" s="1"/>
  <c r="D9" i="23"/>
  <c r="K9" i="23" s="1"/>
  <c r="D10" i="23"/>
  <c r="F10" i="23" s="1"/>
  <c r="D11" i="23"/>
  <c r="K11" i="23" s="1"/>
  <c r="D12" i="23"/>
  <c r="K12" i="23" s="1"/>
  <c r="D13" i="23"/>
  <c r="K13" i="23" s="1"/>
  <c r="D14" i="23"/>
  <c r="F14" i="23" s="1"/>
  <c r="D15" i="23"/>
  <c r="K15" i="23" s="1"/>
  <c r="D16" i="23"/>
  <c r="K16" i="23" s="1"/>
  <c r="D17" i="23"/>
  <c r="K17" i="23" s="1"/>
  <c r="D18" i="23"/>
  <c r="F18" i="23" s="1"/>
  <c r="D19" i="23"/>
  <c r="F19" i="23" s="1"/>
  <c r="D20" i="23"/>
  <c r="K20" i="23" s="1"/>
  <c r="D21" i="23"/>
  <c r="K21" i="23" s="1"/>
  <c r="D22" i="23"/>
  <c r="F22" i="23" s="1"/>
  <c r="D23" i="23"/>
  <c r="K23" i="23" s="1"/>
  <c r="D24" i="23"/>
  <c r="F24" i="23" s="1"/>
  <c r="D25" i="23"/>
  <c r="K25" i="23" s="1"/>
  <c r="D26" i="23"/>
  <c r="F26" i="23" s="1"/>
  <c r="D27" i="23"/>
  <c r="F27" i="23" s="1"/>
  <c r="D7" i="23"/>
  <c r="F7" i="23" s="1"/>
  <c r="K26" i="23" l="1"/>
  <c r="K10" i="23"/>
  <c r="K18" i="23"/>
  <c r="L28" i="23"/>
  <c r="F16" i="23"/>
  <c r="K8" i="23"/>
  <c r="K24" i="23"/>
  <c r="F20" i="23"/>
  <c r="K7" i="23"/>
  <c r="K14" i="23"/>
  <c r="K22" i="23"/>
  <c r="D28" i="23"/>
  <c r="F12" i="23"/>
  <c r="F23" i="23"/>
  <c r="F15" i="23"/>
  <c r="K19" i="23"/>
  <c r="K27" i="23"/>
  <c r="F25" i="23"/>
  <c r="F21" i="23"/>
  <c r="F17" i="23"/>
  <c r="F13" i="23"/>
  <c r="F9" i="23"/>
  <c r="F11" i="23"/>
  <c r="B7" i="23"/>
  <c r="C7" i="23"/>
  <c r="B8" i="23"/>
  <c r="C8" i="23"/>
  <c r="B9" i="23"/>
  <c r="C9" i="23"/>
  <c r="B10" i="23"/>
  <c r="C10" i="23"/>
  <c r="B11" i="23"/>
  <c r="C11" i="23"/>
  <c r="B12" i="23"/>
  <c r="C12" i="23"/>
  <c r="B13" i="23"/>
  <c r="C13" i="23"/>
  <c r="B14" i="23"/>
  <c r="C14" i="23"/>
  <c r="B15" i="23"/>
  <c r="C15" i="23"/>
  <c r="B16" i="23"/>
  <c r="C16" i="23"/>
  <c r="B17" i="23"/>
  <c r="C17" i="23"/>
  <c r="B18" i="23"/>
  <c r="C18" i="23"/>
  <c r="B19" i="23"/>
  <c r="C19" i="23"/>
  <c r="B20" i="23"/>
  <c r="C20" i="23"/>
  <c r="B21" i="23"/>
  <c r="C21" i="23"/>
  <c r="B22" i="23"/>
  <c r="C22" i="23"/>
  <c r="B23" i="23"/>
  <c r="C23" i="23"/>
  <c r="B24" i="23"/>
  <c r="C24" i="23"/>
  <c r="B25" i="23"/>
  <c r="C25" i="23"/>
  <c r="B26" i="23"/>
  <c r="C26" i="23"/>
  <c r="B27" i="23"/>
  <c r="C27" i="23"/>
  <c r="F3" i="23"/>
  <c r="F30" i="23" s="1"/>
  <c r="BO2" i="19" l="1"/>
  <c r="AQ2" i="19"/>
  <c r="N5" i="21"/>
  <c r="N7" i="20"/>
  <c r="A2" i="19" l="1"/>
  <c r="N13" i="16" l="1"/>
  <c r="AR2" i="19" l="1"/>
  <c r="BP2" i="19"/>
  <c r="C18" i="16"/>
  <c r="D18" i="16"/>
  <c r="E18" i="16"/>
  <c r="F18" i="16"/>
  <c r="AJ2" i="19" s="1"/>
  <c r="G18" i="16"/>
  <c r="H18" i="16"/>
  <c r="I18" i="16"/>
  <c r="J18" i="16"/>
  <c r="AH2" i="19" s="1"/>
  <c r="K18" i="16"/>
  <c r="AI2" i="19" s="1"/>
  <c r="L18" i="16"/>
  <c r="AG2" i="19" s="1"/>
  <c r="BN2" i="19" l="1"/>
  <c r="AP2" i="19"/>
  <c r="BI2" i="19"/>
  <c r="AK2" i="19"/>
  <c r="AL2" i="19"/>
  <c r="BJ2" i="19"/>
  <c r="BK2" i="19"/>
  <c r="AM2" i="19"/>
  <c r="AN2" i="19"/>
  <c r="BL2" i="19"/>
  <c r="BM2" i="19"/>
  <c r="AO2" i="19"/>
  <c r="H2" i="19" l="1"/>
  <c r="K2" i="19"/>
  <c r="M19" i="16" l="1"/>
  <c r="AX2" i="19" l="1"/>
  <c r="BV2" i="19"/>
  <c r="M20" i="16"/>
  <c r="F98" i="16"/>
  <c r="L19" i="16"/>
  <c r="F66" i="16"/>
  <c r="F36" i="16"/>
  <c r="K19" i="16"/>
  <c r="J19" i="16"/>
  <c r="I19" i="16"/>
  <c r="H19" i="16"/>
  <c r="G19" i="16"/>
  <c r="F19" i="16"/>
  <c r="E19" i="16"/>
  <c r="D19" i="16"/>
  <c r="C20" i="16"/>
  <c r="N7" i="16"/>
  <c r="BX2" i="19" l="1"/>
  <c r="AZ2" i="19"/>
  <c r="BU2" i="19"/>
  <c r="AW2" i="19"/>
  <c r="CB2" i="19"/>
  <c r="BD2" i="19"/>
  <c r="BB2" i="19"/>
  <c r="BZ2" i="19"/>
  <c r="BY2" i="19"/>
  <c r="BA2" i="19"/>
  <c r="BW2" i="19"/>
  <c r="AY2" i="19"/>
  <c r="BT2" i="19"/>
  <c r="AV2" i="19"/>
  <c r="BS2" i="19"/>
  <c r="AU2" i="19"/>
  <c r="CA2" i="19"/>
  <c r="BC2" i="19"/>
  <c r="F20" i="16"/>
  <c r="J20" i="16"/>
  <c r="E20" i="16"/>
  <c r="G20" i="16"/>
  <c r="I20" i="16"/>
  <c r="H20" i="16"/>
  <c r="L20" i="16"/>
  <c r="D20" i="16"/>
  <c r="K20" i="16"/>
  <c r="N8" i="16" l="1"/>
  <c r="CD2" i="19" l="1"/>
  <c r="BG2" i="19"/>
</calcChain>
</file>

<file path=xl/sharedStrings.xml><?xml version="1.0" encoding="utf-8"?>
<sst xmlns="http://schemas.openxmlformats.org/spreadsheetml/2006/main" count="331" uniqueCount="219">
  <si>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</si>
  <si>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</si>
  <si>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</si>
  <si>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</si>
  <si>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</si>
  <si>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</si>
  <si>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</si>
  <si>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</si>
  <si>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</si>
  <si>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</si>
  <si>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</si>
  <si>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</si>
  <si>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</si>
  <si>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</si>
  <si>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</si>
  <si>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</si>
  <si>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</si>
  <si>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</si>
  <si>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</si>
  <si>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</si>
  <si>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</si>
  <si>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</si>
  <si>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</si>
  <si>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</si>
  <si>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</si>
  <si>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</si>
  <si>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</si>
  <si>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</si>
  <si>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</si>
  <si>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</si>
  <si>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</si>
  <si>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</si>
  <si>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</si>
  <si>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</si>
  <si>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</si>
  <si>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</si>
  <si>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Conservation Notes:</t>
  </si>
  <si>
    <t xml:space="preserve"> Distribution Efficiency</t>
  </si>
  <si>
    <t xml:space="preserve"> Production Efficiency</t>
  </si>
  <si>
    <t>Renewable Resources</t>
  </si>
  <si>
    <t xml:space="preserve">Wave, Ocean, Tidal </t>
  </si>
  <si>
    <t>Wave, Ocean, Tidal</t>
  </si>
  <si>
    <t>Conservation by Sector</t>
  </si>
  <si>
    <t>Eligible Renewable Resources (MWh)</t>
  </si>
  <si>
    <t>Renewable Energy Credits (MWh)</t>
  </si>
  <si>
    <t>Total Renewables (MWh)</t>
  </si>
  <si>
    <t>Loads and Resources</t>
  </si>
  <si>
    <t>Target Year</t>
  </si>
  <si>
    <t>Select</t>
  </si>
  <si>
    <t xml:space="preserve">19.285.040 (2)(b) Renewables Target </t>
  </si>
  <si>
    <t>19.285.040 (2)(d) No Load Growth</t>
  </si>
  <si>
    <t xml:space="preserve">19.285.050 Incremental Resource Cost  </t>
  </si>
  <si>
    <t>Eligible Renewables Acquisitions / Investments (MWh)</t>
  </si>
  <si>
    <t>2013 Annual Load (MWh)</t>
  </si>
  <si>
    <t>WREGIS ID</t>
  </si>
  <si>
    <t>REC Year</t>
  </si>
  <si>
    <t>MWh equiv.</t>
  </si>
  <si>
    <r>
      <t xml:space="preserve"> </t>
    </r>
    <r>
      <rPr>
        <b/>
        <sz val="10"/>
        <color theme="1"/>
        <rFont val="Arial"/>
        <family val="2"/>
      </rPr>
      <t>Planning</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</si>
  <si>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</si>
  <si>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</si>
  <si>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</si>
  <si>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</si>
  <si>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</si>
  <si>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</si>
  <si>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</si>
  <si>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     (j)</t>
  </si>
  <si>
    <t>     (k)</t>
  </si>
  <si>
    <t>CON_Contact_Name</t>
  </si>
  <si>
    <t>CON_Email</t>
  </si>
  <si>
    <t>CON_Phone</t>
  </si>
  <si>
    <t>CON_Report_Date</t>
  </si>
  <si>
    <t>CON_Utility_Name</t>
  </si>
  <si>
    <t>REN_Contact_Name</t>
  </si>
  <si>
    <t>REN_Email</t>
  </si>
  <si>
    <t>REN_Submittal_Date</t>
  </si>
  <si>
    <t>REN_Utility_Name</t>
  </si>
  <si>
    <t>CON_Potential_2014_2023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</si>
  <si>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</si>
  <si>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</si>
  <si>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</si>
  <si>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</si>
  <si>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</si>
  <si>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</si>
  <si>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</si>
  <si>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</si>
  <si>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</si>
  <si>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</si>
  <si>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</si>
  <si>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</si>
  <si>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</si>
  <si>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</si>
  <si>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</si>
  <si>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</si>
  <si>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</si>
  <si>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</si>
  <si>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</si>
  <si>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</si>
  <si>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</si>
  <si>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</si>
  <si>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</si>
  <si>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</si>
  <si>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</si>
  <si>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REN_Expenditure_Amount_2014</t>
  </si>
  <si>
    <t>REN_Expenditure_Percent_2014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</si>
  <si>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</si>
  <si>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</si>
  <si>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r>
      <t xml:space="preserve">Energy Independence Act (I-937) </t>
    </r>
    <r>
      <rPr>
        <sz val="11"/>
        <color rgb="FF000000"/>
        <rFont val="Arial Black"/>
        <family val="2"/>
      </rPr>
      <t>Report Workbook Instructions</t>
    </r>
  </si>
  <si>
    <r>
      <t>Questions:</t>
    </r>
    <r>
      <rPr>
        <sz val="11"/>
        <color rgb="FF000000"/>
        <rFont val="Arial"/>
        <family val="2"/>
      </rPr>
      <t xml:space="preserve"> Glenn Blackmon, State Energy Office, (360) 725-3115</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</si>
  <si>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</si>
  <si>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</si>
  <si>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Planning:</t>
    </r>
    <r>
      <rPr>
        <sz val="11"/>
        <color rgb="FF000000"/>
        <rFont val="Arial"/>
        <family val="2"/>
      </rPr>
      <t xml:space="preserve"> </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</si>
  <si>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</si>
  <si>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</si>
  <si>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</si>
  <si>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</si>
  <si>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t>Additional reporting for compliance option 19.285.040(2)(d), “no load growth”</t>
  </si>
  <si>
    <t>Additional reporting for compliance option RCW 19.285.050, “cost cap”</t>
  </si>
  <si>
    <r>
      <t>[Page 4] Notes:</t>
    </r>
    <r>
      <rPr>
        <sz val="11"/>
        <color rgb="FF000000"/>
        <rFont val="Arial"/>
        <family val="2"/>
      </rPr>
      <t xml:space="preserve"> Provide any additional information needed to support your renewables data.</t>
    </r>
  </si>
  <si>
    <t>Revised 3/31/2015</t>
  </si>
  <si>
    <r>
      <t>Deadline:</t>
    </r>
    <r>
      <rPr>
        <sz val="11"/>
        <color rgb="FF000000"/>
        <rFont val="Arial"/>
        <family val="2"/>
      </rPr>
      <t xml:space="preserve"> Monday, June 1, 2015</t>
    </r>
  </si>
  <si>
    <t xml:space="preserve">Please use the 2013 template and mark it as "revised." Contact Commerce to obtain a copy of the 2013 reporting template if necessary. </t>
  </si>
  <si>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(Effective April 6, 2015)</t>
    </r>
  </si>
  <si>
    <r>
      <t xml:space="preserve">Mid-Term Reporting Context: </t>
    </r>
    <r>
      <rPr>
        <sz val="11"/>
        <color rgb="FF000000"/>
        <rFont val="Arial"/>
        <family val="2"/>
      </rPr>
      <t>This report summarizes 2014 conservation achievement halfway through the 2014-15 biennium. In the “Achievement” section include only values that have been documented to date. Do not include anticipated achievements. If you would like to discuss pending achievements, do so in the “conservation notes” section of this worksheet.</t>
    </r>
  </si>
  <si>
    <t>2014 Achievement</t>
  </si>
  <si>
    <r>
      <rPr>
        <sz val="12"/>
        <color theme="1"/>
        <rFont val="Arial"/>
        <family val="2"/>
      </rPr>
      <t xml:space="preserve">Energy Independence Act (I-937) </t>
    </r>
    <r>
      <rPr>
        <sz val="12"/>
        <color theme="1"/>
        <rFont val="Arial Black"/>
        <family val="2"/>
      </rPr>
      <t>Conservation Report 2015</t>
    </r>
  </si>
  <si>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</si>
  <si>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</si>
  <si>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</si>
  <si>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</si>
  <si>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</si>
  <si>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</si>
  <si>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</si>
  <si>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</si>
  <si>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</si>
  <si>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</si>
  <si>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</si>
  <si>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</si>
  <si>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</si>
  <si>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</si>
  <si>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</si>
  <si>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</si>
  <si>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</si>
  <si>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</si>
  <si>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</si>
  <si>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</si>
  <si>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</si>
  <si>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Annual Cost in 2015</t>
  </si>
  <si>
    <t>Substitute Resource Annual Cost in 2015</t>
  </si>
  <si>
    <t>Renewable Resource Cost per MWH</t>
  </si>
  <si>
    <t>Substitute Resource Cost per MWH</t>
  </si>
  <si>
    <t>Incremental Cost of Renewable Resource in 2015</t>
  </si>
  <si>
    <t>Totals</t>
  </si>
  <si>
    <t>2014 Annual Load (MWh)</t>
  </si>
  <si>
    <t>Average of 2013 &amp; 2014 Annual Loads (MWh)</t>
  </si>
  <si>
    <t>2015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</si>
  <si>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2015</t>
    </r>
  </si>
  <si>
    <r>
      <t>·</t>
    </r>
    <r>
      <rPr>
        <sz val="7"/>
        <color rgb="FF000000"/>
        <rFont val="Times New Roman"/>
        <family val="1"/>
      </rPr>
      <t xml:space="preserve">         </t>
    </r>
    <r>
      <rPr>
        <sz val="11"/>
        <color rgb="FF000000"/>
        <rFont val="Arial"/>
        <family val="2"/>
      </rPr>
      <t xml:space="preserve">For the period starting January 2014, report the utility’s 10-year potential and two-year target. </t>
    </r>
    <r>
      <rPr>
        <i/>
        <sz val="11"/>
        <color rgb="FF000000"/>
        <rFont val="Arial"/>
        <family val="2"/>
      </rPr>
      <t>If the 2014-2015 target is different from the value in the utility’s June 1, 2014, report, please provide an explanation of the difference in the Conservation Notes section.</t>
    </r>
    <r>
      <rPr>
        <sz val="11"/>
        <color rgb="FF000000"/>
        <rFont val="Arial"/>
        <family val="2"/>
      </rPr>
      <t xml:space="preserve">  </t>
    </r>
  </si>
  <si>
    <r>
      <t>Achievement:</t>
    </r>
    <r>
      <rPr>
        <sz val="11"/>
        <color rgb="FF000000"/>
        <rFont val="Arial"/>
        <family val="2"/>
      </rPr>
      <t xml:space="preserve"> Report the total electricity savings and expenditures for conservation by the following sectors: Residential, commercial, industrial, agricultural, distribution system, and production system. A utility may report results achieved through nonutility programs, as identified in WAC 194-37-080(5), by program, if the results are not included in the reported results by customer sector.</t>
    </r>
  </si>
  <si>
    <t>Renewable Expenditures</t>
  </si>
  <si>
    <r>
      <rPr>
        <b/>
        <sz val="11"/>
        <color rgb="FF000000"/>
        <rFont val="Arial"/>
        <family val="2"/>
      </rPr>
      <t>Renewable Cost Report</t>
    </r>
    <r>
      <rPr>
        <sz val="11"/>
        <color rgb="FF000000"/>
        <rFont val="Arial"/>
        <family val="2"/>
      </rPr>
      <t xml:space="preserve"> is used to document and report renewable expenditures. For each renewable resource, report the total cost in 2015 of energy used for EIA compliance, the substitute resource associated with the renewable resource, and the total cost in 2015 that the utility would have incurred for the substitute resource.</t>
    </r>
  </si>
  <si>
    <t xml:space="preserve">Utilities must report the percentage of retail revenue requirement invested in the incremental cost of eligible renewable resources and the cost of renewable energy credits. </t>
  </si>
  <si>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enter each vintage on a separate row.</t>
    </r>
  </si>
  <si>
    <t>Utilities electing to comply using the no-load growth method should attach a separate report with the data elements specified in WAC 194-37-110(5). Investor owned utilities should provide a summary of documentation required by the Utilities and Transportation Commission.</t>
  </si>
  <si>
    <t>Utilities electing to comply using the cost cap method should attach a separate report with the data elements specified in WAC 194-37-110(4). Investor owned utilities should provide a summary of documentation required by the Utilities and Transportation Commission.</t>
  </si>
  <si>
    <t>Notes and explanations for reporting incremental costs and cost of RECs:</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</si>
  <si>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2015</t>
    </r>
  </si>
  <si>
    <t>Incremental Cost of Renewable Resources</t>
  </si>
  <si>
    <t xml:space="preserve">Cost of Renewable Energy Credits </t>
  </si>
  <si>
    <t>2015 Eligible Renewable Energy Target (MWh)</t>
  </si>
  <si>
    <t>Total annual retail revenue requirement - 2015</t>
  </si>
  <si>
    <t>CON_2014_NEEA_Expend</t>
  </si>
  <si>
    <t>CON_2014_NEEA_MWH</t>
  </si>
  <si>
    <t>REN_Expenditure_Amount_2015</t>
  </si>
  <si>
    <t>REN_Expenditure_Percent_2015</t>
  </si>
  <si>
    <t>REN_Load_2014</t>
  </si>
  <si>
    <t>REN_Total_2015</t>
  </si>
  <si>
    <t>REN_RetailRevenueRequirement_2015</t>
  </si>
  <si>
    <t>The Energy Independence Act (EIA) “RCW 19.285.070, Reporting and public disclosure” requires each qualifying utility to submit an annual report describing compliance with the law. 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</si>
  <si>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Contains one worksheet for Conservation, one worksheet for Renewables, and one worksheet for Renewable Cost.</t>
    </r>
  </si>
  <si>
    <t>Green-shaded cells are for data input.</t>
  </si>
  <si>
    <t>Blue-shaded cells are calculated amounts and formulas. No data entry required in blue cells.</t>
  </si>
  <si>
    <r>
      <t>The workbook requests numeric summaries as well as narratives and supporting notes. Commerce relies on the utilities to provide enough detail in the written section to ensure members of the public understand the data provided. S</t>
    </r>
    <r>
      <rPr>
        <b/>
        <sz val="11"/>
        <color rgb="FF000000"/>
        <rFont val="Arial"/>
        <family val="2"/>
      </rPr>
      <t>ubmit this Workbook in Excel format (i.e., do not submit in PDF format).</t>
    </r>
  </si>
  <si>
    <r>
      <t>Conservation Expenditures NOT included in Sector Expenditures:</t>
    </r>
    <r>
      <rPr>
        <sz val="11"/>
        <color rgb="FF000000"/>
        <rFont val="Arial"/>
        <family val="2"/>
      </rPr>
      <t xml:space="preserve"> Some utilities do not assign expenditures on staff, overhead, information services or other conservation- related expenses to specific sectors. If that is the case, provide additional cost-related information in this section of the worksheet. Do not include energy savings estimates in this section.</t>
    </r>
  </si>
  <si>
    <r>
      <t xml:space="preserve">Conservation Notes: </t>
    </r>
    <r>
      <rPr>
        <sz val="11"/>
        <color rgb="FF000000"/>
        <rFont val="Arial"/>
        <family val="2"/>
      </rPr>
      <t xml:space="preserve"> This is a place for any additional explanatory statements, web links or references the utility would like to include.</t>
    </r>
  </si>
  <si>
    <r>
      <t>Reporting Context:</t>
    </r>
    <r>
      <rPr>
        <sz val="11"/>
        <color rgb="FF000000"/>
        <rFont val="Arial"/>
        <family val="2"/>
      </rPr>
      <t xml:space="preserve"> The June 1, 2015, renewable energy report summarizes the eligible renewables resource and renewable energy credits that the utility has acquired and or has under contract by January 1, 2015. This describes the renewables acquisitions and investments made prior to the beginning of the target year to meet the requirements of the EIA. </t>
    </r>
  </si>
  <si>
    <r>
      <t>Compliance Method:</t>
    </r>
    <r>
      <rPr>
        <sz val="11"/>
        <color rgb="FF000000"/>
        <rFont val="Arial"/>
        <family val="2"/>
      </rPr>
      <t xml:space="preserve"> Select one of the three compliance methods that the utility intends to use. The EIA provides three compliance methods. A utility must make that determination by January 1, 2015 and must include information establishing its compliance method in this report.</t>
    </r>
  </si>
  <si>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480-109-120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</si>
  <si>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(b) and apprentice labor MWh equivalents in column (k).</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</si>
  <si>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</si>
  <si>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t>RENEWABLE ENERGY WORKSHEET – REVISIONS TO 2013 REPORT</t>
  </si>
  <si>
    <r>
      <t xml:space="preserve">In addition to submitting the 2015 report, each qualifying utility should review the renewable energy report it submitted in 2013. In many cases, the specific resources and quantities actually used to comply with the 2013 target differ from what the utility reported in June 2013. </t>
    </r>
    <r>
      <rPr>
        <u/>
        <sz val="11"/>
        <color theme="1"/>
        <rFont val="Arial"/>
        <family val="2"/>
      </rPr>
      <t>Utilities should submit a revised 2013 report if the actual values differ from the values reported in 2013.</t>
    </r>
    <r>
      <rPr>
        <sz val="11"/>
        <color theme="1"/>
        <rFont val="Arial"/>
        <family val="2"/>
      </rPr>
      <t xml:space="preserve"> </t>
    </r>
  </si>
  <si>
    <t>Expenditures on Renewable Resources and RECs - 2015</t>
  </si>
  <si>
    <t>2015 Compliance Method:</t>
  </si>
  <si>
    <t>Number of RECs</t>
  </si>
  <si>
    <t>Annual Cost of Renewable Energy Credits</t>
  </si>
  <si>
    <t>Cost per REC</t>
  </si>
  <si>
    <t>Clark Public Utilities</t>
  </si>
  <si>
    <t>Lynn Latendresse</t>
  </si>
  <si>
    <t>360-992-3054</t>
  </si>
  <si>
    <t>llatendresse@clarkpud.com</t>
  </si>
  <si>
    <t>BPATier 1 Renewable Resources Forecast</t>
  </si>
  <si>
    <t>Condon Wind Project</t>
  </si>
  <si>
    <t>W774</t>
  </si>
  <si>
    <t>Condon Phae II</t>
  </si>
  <si>
    <t>W833</t>
  </si>
  <si>
    <t>Klondike I Wind Project</t>
  </si>
  <si>
    <t>W238</t>
  </si>
  <si>
    <t>Klondie III Wind Project</t>
  </si>
  <si>
    <t>W237</t>
  </si>
  <si>
    <t>Stateline Wind Project</t>
  </si>
  <si>
    <t>W248</t>
  </si>
  <si>
    <t>Combine Hills II Wind Project</t>
  </si>
  <si>
    <t>W1379</t>
  </si>
  <si>
    <t xml:space="preserve">             preferred compliance path</t>
  </si>
  <si>
    <t>CLARK PUBLIC UTILITIES</t>
  </si>
  <si>
    <t>LARRY BLAUFUS, ENERGY SERVICES</t>
  </si>
  <si>
    <t>360-992-3598</t>
  </si>
  <si>
    <t>lblaufus@clarkpud.com</t>
  </si>
  <si>
    <r>
      <t xml:space="preserve">Conservation expenditures </t>
    </r>
    <r>
      <rPr>
        <b/>
        <i/>
        <sz val="10"/>
        <color theme="1"/>
        <rFont val="Arial"/>
        <family val="2"/>
      </rPr>
      <t xml:space="preserve">NOT </t>
    </r>
    <r>
      <rPr>
        <b/>
        <sz val="10"/>
        <color theme="1"/>
        <rFont val="Arial"/>
        <family val="2"/>
      </rPr>
      <t>included in sector expenditures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</si>
</sst>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quot;$&quot;* #,##0_);_(&quot;$&quot;* \(#,##0\);_(&quot;$&quot;* &quot;-&quot;_);_(@_)"/>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 numFmtId="170" formatCode="0_);\(0\)"/>
  </numFmts>
  <fonts count="37"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
      <b/>
      <sz val="11"/>
      <color theme="1"/>
      <name val="Arial"/>
      <family val="2"/>
    </font>
    <font>
      <b/>
      <sz val="12"/>
      <color theme="1"/>
      <name val="Arial"/>
      <family val="2"/>
    </font>
    <font>
      <sz val="8"/>
      <color theme="1"/>
      <name val="Arial"/>
      <family val="2"/>
    </font>
    <font>
      <b/>
      <i/>
      <sz val="10"/>
      <color theme="1"/>
      <name val="Arial"/>
      <family val="2"/>
    </font>
  </fonts>
  <fills count="10">
    <fill>
      <patternFill patternType="none"/>
    </fill>
    <fill>
      <patternFill patternType="gray125"/>
    </fill>
    <fill>
      <patternFill patternType="solid">
        <fgColor theme="0"/>
        <bgColor indexed="64"/>
      </patternFill>
    </fill>
    <fill>
      <patternFill patternType="solid">
        <fgColor rgb="FFE4E4E4"/>
        <bgColor indexed="64"/>
      </patternFill>
    </fill>
    <fill>
      <patternFill patternType="lightUp">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lightUp">
        <bgColor theme="6" tint="0.79995117038483843"/>
      </patternFill>
    </fill>
    <fill>
      <patternFill patternType="lightUp">
        <bgColor theme="6" tint="0.79998168889431442"/>
      </patternFill>
    </fill>
  </fills>
  <borders count="42">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216">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1" fillId="2" borderId="13" xfId="0" applyFont="1" applyFill="1" applyBorder="1"/>
    <xf numFmtId="0" fontId="3" fillId="2" borderId="0" xfId="0" applyFont="1" applyFill="1" applyAlignment="1">
      <alignment horizontal="right"/>
    </xf>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17" fillId="2" borderId="27" xfId="0" applyFont="1" applyFill="1" applyBorder="1" applyAlignment="1">
      <alignment horizontal="right"/>
    </xf>
    <xf numFmtId="0" fontId="17" fillId="2" borderId="28" xfId="0" applyFont="1" applyFill="1" applyBorder="1" applyAlignment="1">
      <alignment horizontal="right"/>
    </xf>
    <xf numFmtId="0" fontId="17" fillId="2" borderId="0" xfId="0" applyFont="1" applyFill="1" applyAlignment="1">
      <alignment horizontal="right"/>
    </xf>
    <xf numFmtId="0" fontId="18" fillId="2" borderId="0" xfId="0" applyFont="1" applyFill="1"/>
    <xf numFmtId="0" fontId="18" fillId="2" borderId="0" xfId="0" applyFont="1" applyFill="1" applyBorder="1" applyAlignment="1"/>
    <xf numFmtId="0" fontId="17" fillId="2" borderId="0" xfId="0" applyFont="1" applyFill="1" applyBorder="1"/>
    <xf numFmtId="0" fontId="17"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2" borderId="0" xfId="0" applyFont="1" applyFill="1" applyBorder="1" applyAlignment="1">
      <alignment horizontal="right"/>
    </xf>
    <xf numFmtId="0" fontId="10" fillId="2" borderId="31" xfId="0" applyFont="1" applyFill="1" applyBorder="1"/>
    <xf numFmtId="0" fontId="10" fillId="2" borderId="35" xfId="0" applyFont="1" applyFill="1" applyBorder="1"/>
    <xf numFmtId="0" fontId="10" fillId="2" borderId="30" xfId="0" applyFont="1" applyFill="1" applyBorder="1"/>
    <xf numFmtId="0" fontId="1" fillId="2" borderId="30" xfId="0" applyFont="1" applyFill="1" applyBorder="1" applyAlignment="1">
      <alignment horizontal="right"/>
    </xf>
    <xf numFmtId="0" fontId="20" fillId="2" borderId="0" xfId="0" applyFont="1" applyFill="1" applyBorder="1" applyAlignment="1"/>
    <xf numFmtId="0" fontId="10" fillId="2" borderId="0" xfId="0" applyFont="1" applyFill="1" applyAlignment="1">
      <alignment horizontal="left"/>
    </xf>
    <xf numFmtId="0" fontId="11" fillId="2" borderId="36" xfId="0" applyFont="1" applyFill="1" applyBorder="1" applyAlignment="1">
      <alignment horizontal="center" wrapText="1"/>
    </xf>
    <xf numFmtId="165" fontId="11" fillId="3" borderId="2" xfId="1" applyNumberFormat="1" applyFont="1" applyFill="1" applyBorder="1" applyAlignment="1">
      <alignment horizontal="right"/>
    </xf>
    <xf numFmtId="165" fontId="11" fillId="3" borderId="18" xfId="1" applyNumberFormat="1" applyFont="1" applyFill="1" applyBorder="1" applyAlignment="1">
      <alignment horizontal="right"/>
    </xf>
    <xf numFmtId="164" fontId="10" fillId="4" borderId="25" xfId="0" applyNumberFormat="1" applyFont="1" applyFill="1" applyBorder="1" applyAlignment="1">
      <alignment horizontal="center"/>
    </xf>
    <xf numFmtId="0" fontId="10" fillId="2" borderId="31" xfId="0" applyFont="1" applyFill="1" applyBorder="1" applyAlignment="1"/>
    <xf numFmtId="0" fontId="22" fillId="2" borderId="0" xfId="0" applyFont="1" applyFill="1" applyBorder="1" applyAlignment="1">
      <alignment vertical="top" wrapText="1"/>
    </xf>
    <xf numFmtId="0" fontId="22" fillId="2" borderId="30" xfId="0" applyFont="1" applyFill="1" applyBorder="1" applyAlignment="1">
      <alignment vertical="top" wrapText="1"/>
    </xf>
    <xf numFmtId="0" fontId="18" fillId="2" borderId="0" xfId="0" applyFont="1" applyFill="1" applyBorder="1"/>
    <xf numFmtId="0" fontId="22" fillId="2" borderId="35" xfId="0" applyFont="1" applyFill="1" applyBorder="1" applyAlignment="1">
      <alignment vertical="top"/>
    </xf>
    <xf numFmtId="0" fontId="23" fillId="0" borderId="37" xfId="0" applyFont="1" applyBorder="1" applyAlignment="1">
      <alignment vertical="center" wrapText="1"/>
    </xf>
    <xf numFmtId="0" fontId="23" fillId="0" borderId="38" xfId="0" applyFont="1" applyBorder="1" applyAlignment="1">
      <alignment vertical="center" wrapText="1"/>
    </xf>
    <xf numFmtId="0" fontId="17" fillId="0" borderId="38" xfId="0" applyFont="1" applyBorder="1" applyAlignment="1">
      <alignment vertical="center" wrapText="1"/>
    </xf>
    <xf numFmtId="0" fontId="17" fillId="0" borderId="39" xfId="0" applyFont="1" applyBorder="1" applyAlignment="1">
      <alignment vertical="center" wrapText="1"/>
    </xf>
    <xf numFmtId="0" fontId="25" fillId="5" borderId="40" xfId="0" applyFont="1" applyFill="1" applyBorder="1" applyAlignment="1">
      <alignment vertical="center"/>
    </xf>
    <xf numFmtId="0" fontId="25" fillId="5" borderId="41" xfId="0" applyFont="1" applyFill="1" applyBorder="1" applyAlignment="1">
      <alignment vertical="center"/>
    </xf>
    <xf numFmtId="0" fontId="27" fillId="5" borderId="38" xfId="0" applyFont="1" applyFill="1" applyBorder="1" applyAlignment="1">
      <alignment vertical="center" wrapText="1"/>
    </xf>
    <xf numFmtId="0" fontId="27" fillId="5" borderId="41" xfId="0" applyFont="1" applyFill="1" applyBorder="1" applyAlignment="1">
      <alignment vertical="center" wrapText="1"/>
    </xf>
    <xf numFmtId="0" fontId="25" fillId="5" borderId="38" xfId="0" applyFont="1" applyFill="1" applyBorder="1" applyAlignment="1">
      <alignment vertical="center" wrapText="1"/>
    </xf>
    <xf numFmtId="0" fontId="27" fillId="5" borderId="41" xfId="0" applyFont="1" applyFill="1" applyBorder="1" applyAlignment="1">
      <alignment vertical="center"/>
    </xf>
    <xf numFmtId="0" fontId="25" fillId="5" borderId="41" xfId="0" applyFont="1" applyFill="1" applyBorder="1" applyAlignment="1">
      <alignment vertical="center" wrapText="1"/>
    </xf>
    <xf numFmtId="0" fontId="23" fillId="5" borderId="41" xfId="0" applyFont="1" applyFill="1" applyBorder="1" applyAlignment="1">
      <alignment vertical="center"/>
    </xf>
    <xf numFmtId="0" fontId="27" fillId="5" borderId="38" xfId="0" applyFont="1" applyFill="1" applyBorder="1" applyAlignment="1">
      <alignment vertical="center"/>
    </xf>
    <xf numFmtId="0" fontId="29" fillId="5" borderId="38" xfId="0" applyFont="1" applyFill="1" applyBorder="1" applyAlignment="1">
      <alignment horizontal="left" vertical="center" wrapText="1" indent="5"/>
    </xf>
    <xf numFmtId="0" fontId="0" fillId="5" borderId="38" xfId="0" applyFill="1" applyBorder="1" applyAlignment="1">
      <alignment vertical="center" wrapText="1"/>
    </xf>
    <xf numFmtId="0" fontId="28" fillId="5" borderId="41" xfId="0" applyFont="1" applyFill="1" applyBorder="1" applyAlignment="1">
      <alignment vertical="center" wrapText="1"/>
    </xf>
    <xf numFmtId="0" fontId="27" fillId="5" borderId="39" xfId="0" applyFont="1" applyFill="1" applyBorder="1" applyAlignment="1">
      <alignment vertical="center"/>
    </xf>
    <xf numFmtId="0" fontId="10" fillId="2" borderId="0" xfId="0" applyFont="1" applyFill="1" applyBorder="1" applyAlignment="1"/>
    <xf numFmtId="0" fontId="11" fillId="2" borderId="0" xfId="0" applyFont="1" applyFill="1" applyBorder="1" applyAlignment="1">
      <alignment horizontal="center"/>
    </xf>
    <xf numFmtId="0" fontId="10" fillId="2" borderId="0" xfId="0" applyNumberFormat="1" applyFont="1" applyFill="1"/>
    <xf numFmtId="0" fontId="0" fillId="0" borderId="0" xfId="0" applyNumberFormat="1"/>
    <xf numFmtId="168" fontId="32" fillId="5" borderId="41" xfId="0" applyNumberFormat="1" applyFont="1" applyFill="1" applyBorder="1" applyAlignment="1">
      <alignment horizontal="left" vertical="center"/>
    </xf>
    <xf numFmtId="0" fontId="11" fillId="2" borderId="26" xfId="0" applyFont="1" applyFill="1" applyBorder="1" applyAlignment="1">
      <alignment horizontal="center" wrapText="1"/>
    </xf>
    <xf numFmtId="0" fontId="3" fillId="2" borderId="0" xfId="0" applyFont="1" applyFill="1" applyBorder="1" applyAlignment="1"/>
    <xf numFmtId="0" fontId="1" fillId="6" borderId="10" xfId="0" applyFont="1" applyFill="1" applyBorder="1" applyAlignment="1">
      <alignment horizontal="center"/>
    </xf>
    <xf numFmtId="0" fontId="1" fillId="6" borderId="1" xfId="0" applyFont="1" applyFill="1" applyBorder="1" applyAlignment="1">
      <alignment horizontal="center"/>
    </xf>
    <xf numFmtId="0" fontId="1" fillId="6" borderId="1" xfId="0" applyFont="1" applyFill="1" applyBorder="1" applyAlignment="1">
      <alignment horizontal="right"/>
    </xf>
    <xf numFmtId="0" fontId="1" fillId="6" borderId="6" xfId="0" applyFont="1" applyFill="1" applyBorder="1" applyAlignment="1">
      <alignment horizontal="center"/>
    </xf>
    <xf numFmtId="0" fontId="1" fillId="6" borderId="22" xfId="0" applyFont="1" applyFill="1" applyBorder="1" applyAlignment="1">
      <alignment horizontal="center"/>
    </xf>
    <xf numFmtId="0" fontId="1" fillId="6" borderId="22" xfId="0" applyFont="1" applyFill="1" applyBorder="1" applyAlignment="1">
      <alignment horizontal="right"/>
    </xf>
    <xf numFmtId="165" fontId="10" fillId="6" borderId="1" xfId="1" applyNumberFormat="1" applyFont="1" applyFill="1" applyBorder="1" applyAlignment="1"/>
    <xf numFmtId="165" fontId="10" fillId="6" borderId="22" xfId="1" applyNumberFormat="1" applyFont="1" applyFill="1" applyBorder="1" applyAlignment="1"/>
    <xf numFmtId="0" fontId="1" fillId="6" borderId="11" xfId="0" applyFont="1" applyFill="1" applyBorder="1" applyAlignment="1">
      <alignment horizontal="center"/>
    </xf>
    <xf numFmtId="0" fontId="1" fillId="6" borderId="2" xfId="0" applyFont="1" applyFill="1" applyBorder="1" applyAlignment="1">
      <alignment horizontal="center"/>
    </xf>
    <xf numFmtId="0" fontId="1" fillId="6" borderId="2" xfId="0" applyFont="1" applyFill="1" applyBorder="1" applyAlignment="1">
      <alignment horizontal="right"/>
    </xf>
    <xf numFmtId="165" fontId="10" fillId="6" borderId="2" xfId="1" applyNumberFormat="1" applyFont="1" applyFill="1" applyBorder="1" applyAlignment="1"/>
    <xf numFmtId="0" fontId="14" fillId="2" borderId="0" xfId="0" applyFont="1" applyFill="1" applyAlignment="1">
      <alignment horizontal="center" wrapText="1"/>
    </xf>
    <xf numFmtId="0" fontId="3" fillId="6" borderId="0" xfId="0" applyFont="1" applyFill="1" applyBorder="1" applyAlignment="1">
      <alignment horizontal="center"/>
    </xf>
    <xf numFmtId="0" fontId="3" fillId="6" borderId="0" xfId="0" applyFont="1" applyFill="1" applyBorder="1" applyAlignment="1">
      <alignment horizontal="right"/>
    </xf>
    <xf numFmtId="165" fontId="3" fillId="6" borderId="0" xfId="1" applyNumberFormat="1" applyFont="1" applyFill="1" applyBorder="1" applyAlignment="1">
      <alignment horizontal="right"/>
    </xf>
    <xf numFmtId="169" fontId="3" fillId="6" borderId="0" xfId="0" applyNumberFormat="1" applyFont="1" applyFill="1" applyBorder="1" applyAlignment="1">
      <alignment horizontal="right"/>
    </xf>
    <xf numFmtId="0" fontId="14" fillId="2" borderId="0" xfId="0" applyFont="1" applyFill="1" applyAlignment="1">
      <alignment horizontal="center"/>
    </xf>
    <xf numFmtId="0" fontId="10" fillId="6" borderId="0" xfId="0" applyFont="1" applyFill="1"/>
    <xf numFmtId="169" fontId="10" fillId="6" borderId="12" xfId="0" applyNumberFormat="1" applyFont="1" applyFill="1" applyBorder="1" applyAlignment="1"/>
    <xf numFmtId="167" fontId="10" fillId="6" borderId="13" xfId="4" applyNumberFormat="1" applyFont="1" applyFill="1" applyBorder="1" applyAlignment="1">
      <alignment horizontal="center"/>
    </xf>
    <xf numFmtId="0" fontId="10" fillId="6" borderId="34" xfId="0" applyNumberFormat="1" applyFont="1" applyFill="1" applyBorder="1" applyAlignment="1">
      <alignment horizontal="center"/>
    </xf>
    <xf numFmtId="9" fontId="1" fillId="6" borderId="34" xfId="0" applyNumberFormat="1" applyFont="1" applyFill="1" applyBorder="1" applyAlignment="1">
      <alignment horizontal="center"/>
    </xf>
    <xf numFmtId="0" fontId="10" fillId="6" borderId="13" xfId="0" applyNumberFormat="1" applyFont="1" applyFill="1" applyBorder="1" applyAlignment="1">
      <alignment horizontal="center"/>
    </xf>
    <xf numFmtId="165" fontId="11" fillId="6" borderId="11" xfId="0" applyNumberFormat="1" applyFont="1" applyFill="1" applyBorder="1" applyAlignment="1">
      <alignment horizontal="center"/>
    </xf>
    <xf numFmtId="0" fontId="11" fillId="2" borderId="0" xfId="0" applyFont="1" applyFill="1" applyBorder="1" applyAlignment="1">
      <alignment horizontal="left" wrapText="1"/>
    </xf>
    <xf numFmtId="165" fontId="10" fillId="7" borderId="6" xfId="0" applyNumberFormat="1" applyFont="1" applyFill="1" applyBorder="1" applyAlignment="1">
      <alignment horizontal="center"/>
    </xf>
    <xf numFmtId="0" fontId="11" fillId="7" borderId="12" xfId="0" applyFont="1" applyFill="1" applyBorder="1"/>
    <xf numFmtId="169" fontId="10" fillId="7" borderId="12" xfId="0" applyNumberFormat="1" applyFont="1" applyFill="1" applyBorder="1" applyAlignment="1"/>
    <xf numFmtId="165" fontId="10" fillId="7" borderId="1" xfId="1" applyNumberFormat="1" applyFont="1" applyFill="1" applyBorder="1"/>
    <xf numFmtId="165" fontId="10" fillId="7" borderId="2" xfId="1" applyNumberFormat="1" applyFont="1" applyFill="1" applyBorder="1"/>
    <xf numFmtId="165" fontId="10" fillId="7" borderId="3" xfId="1" applyNumberFormat="1" applyFont="1" applyFill="1" applyBorder="1"/>
    <xf numFmtId="0" fontId="1" fillId="7" borderId="20" xfId="0" applyFont="1" applyFill="1" applyBorder="1" applyAlignment="1">
      <alignment horizontal="right"/>
    </xf>
    <xf numFmtId="165" fontId="10" fillId="7" borderId="21" xfId="1" applyNumberFormat="1" applyFont="1" applyFill="1" applyBorder="1"/>
    <xf numFmtId="165" fontId="10" fillId="7" borderId="22" xfId="1" applyNumberFormat="1" applyFont="1" applyFill="1" applyBorder="1"/>
    <xf numFmtId="0" fontId="11" fillId="7" borderId="14" xfId="0" applyFont="1" applyFill="1" applyBorder="1"/>
    <xf numFmtId="0" fontId="11" fillId="7" borderId="16" xfId="0" applyFont="1" applyFill="1" applyBorder="1"/>
    <xf numFmtId="0" fontId="11" fillId="7" borderId="15" xfId="0" applyFont="1" applyFill="1" applyBorder="1"/>
    <xf numFmtId="165" fontId="10" fillId="7" borderId="24" xfId="1" applyNumberFormat="1" applyFont="1" applyFill="1" applyBorder="1"/>
    <xf numFmtId="165" fontId="10" fillId="7" borderId="17" xfId="1" applyNumberFormat="1" applyFont="1" applyFill="1" applyBorder="1"/>
    <xf numFmtId="165" fontId="10" fillId="7" borderId="23" xfId="1" applyNumberFormat="1" applyFont="1" applyFill="1" applyBorder="1"/>
    <xf numFmtId="165" fontId="10" fillId="7" borderId="18" xfId="1" applyNumberFormat="1" applyFont="1" applyFill="1" applyBorder="1"/>
    <xf numFmtId="169" fontId="10" fillId="7" borderId="1" xfId="1" applyNumberFormat="1" applyFont="1" applyFill="1" applyBorder="1"/>
    <xf numFmtId="169" fontId="10" fillId="7" borderId="22" xfId="1" applyNumberFormat="1" applyFont="1" applyFill="1" applyBorder="1"/>
    <xf numFmtId="169" fontId="10" fillId="7" borderId="2" xfId="1" applyNumberFormat="1" applyFont="1" applyFill="1" applyBorder="1"/>
    <xf numFmtId="169" fontId="10" fillId="7" borderId="11" xfId="1" applyNumberFormat="1" applyFont="1" applyFill="1" applyBorder="1"/>
    <xf numFmtId="0" fontId="25" fillId="7" borderId="41" xfId="0" applyFont="1" applyFill="1" applyBorder="1" applyAlignment="1">
      <alignment vertical="center"/>
    </xf>
    <xf numFmtId="0" fontId="25" fillId="6" borderId="41" xfId="0" applyFont="1" applyFill="1" applyBorder="1" applyAlignment="1">
      <alignment vertical="center"/>
    </xf>
    <xf numFmtId="0" fontId="34" fillId="2" borderId="0" xfId="0" applyFont="1" applyFill="1" applyBorder="1" applyAlignment="1">
      <alignment horizontal="left"/>
    </xf>
    <xf numFmtId="0" fontId="3" fillId="2" borderId="0" xfId="0" applyFont="1" applyFill="1" applyAlignment="1">
      <alignment horizontal="center" wrapText="1"/>
    </xf>
    <xf numFmtId="0" fontId="10" fillId="6" borderId="0" xfId="0" applyFont="1" applyFill="1" applyAlignment="1">
      <alignment horizontal="center"/>
    </xf>
    <xf numFmtId="1" fontId="1" fillId="6" borderId="22" xfId="0" applyNumberFormat="1" applyFont="1" applyFill="1" applyBorder="1" applyAlignment="1">
      <alignment horizontal="right"/>
    </xf>
    <xf numFmtId="1" fontId="1" fillId="6" borderId="1" xfId="0" applyNumberFormat="1" applyFont="1" applyFill="1" applyBorder="1" applyAlignment="1">
      <alignment horizontal="right"/>
    </xf>
    <xf numFmtId="1" fontId="1" fillId="6" borderId="2" xfId="0" applyNumberFormat="1" applyFont="1" applyFill="1" applyBorder="1" applyAlignment="1">
      <alignment horizontal="right"/>
    </xf>
    <xf numFmtId="3" fontId="10" fillId="7" borderId="12" xfId="0" applyNumberFormat="1" applyFont="1" applyFill="1" applyBorder="1" applyAlignment="1">
      <alignment horizontal="center"/>
    </xf>
    <xf numFmtId="0" fontId="10" fillId="7" borderId="14" xfId="0" applyFont="1" applyFill="1" applyBorder="1"/>
    <xf numFmtId="0" fontId="10" fillId="7" borderId="12" xfId="0" applyFont="1" applyFill="1" applyBorder="1"/>
    <xf numFmtId="165" fontId="10" fillId="7" borderId="21" xfId="1" applyNumberFormat="1" applyFont="1" applyFill="1" applyBorder="1" applyAlignment="1">
      <alignment horizontal="center"/>
    </xf>
    <xf numFmtId="0" fontId="1" fillId="7" borderId="14" xfId="0" applyFont="1" applyFill="1" applyBorder="1" applyAlignment="1">
      <alignment horizontal="center"/>
    </xf>
    <xf numFmtId="0" fontId="1" fillId="7" borderId="14" xfId="0" applyFont="1" applyFill="1" applyBorder="1" applyAlignment="1">
      <alignment horizontal="center" wrapText="1"/>
    </xf>
    <xf numFmtId="0" fontId="3" fillId="7" borderId="14" xfId="0" applyFont="1" applyFill="1" applyBorder="1" applyAlignment="1">
      <alignment horizontal="center"/>
    </xf>
    <xf numFmtId="0" fontId="11" fillId="7" borderId="14" xfId="0" applyFont="1" applyFill="1" applyBorder="1" applyAlignment="1">
      <alignment horizontal="center"/>
    </xf>
    <xf numFmtId="0" fontId="35" fillId="7" borderId="14" xfId="0" applyFont="1" applyFill="1" applyBorder="1"/>
    <xf numFmtId="170" fontId="10" fillId="7" borderId="22" xfId="1" applyNumberFormat="1" applyFont="1" applyFill="1" applyBorder="1"/>
    <xf numFmtId="165" fontId="10" fillId="7" borderId="6" xfId="1" applyNumberFormat="1" applyFont="1" applyFill="1" applyBorder="1" applyAlignment="1">
      <alignment horizontal="center"/>
    </xf>
    <xf numFmtId="0" fontId="3" fillId="2" borderId="12" xfId="0" applyFont="1" applyFill="1" applyBorder="1" applyAlignment="1" applyProtection="1">
      <alignment horizontal="right"/>
    </xf>
    <xf numFmtId="42" fontId="10" fillId="7" borderId="22" xfId="1" applyNumberFormat="1" applyFont="1" applyFill="1" applyBorder="1" applyAlignment="1">
      <alignment horizontal="right"/>
    </xf>
    <xf numFmtId="0" fontId="11" fillId="2" borderId="12" xfId="0" applyFont="1" applyFill="1" applyBorder="1" applyAlignment="1">
      <alignment horizontal="right"/>
    </xf>
    <xf numFmtId="0" fontId="11" fillId="8" borderId="12" xfId="0" applyFont="1" applyFill="1" applyBorder="1"/>
    <xf numFmtId="165" fontId="10" fillId="8" borderId="6" xfId="0" applyNumberFormat="1" applyFont="1" applyFill="1" applyBorder="1" applyAlignment="1">
      <alignment horizontal="center"/>
    </xf>
    <xf numFmtId="42" fontId="10" fillId="8" borderId="22" xfId="1" applyNumberFormat="1" applyFont="1" applyFill="1" applyBorder="1" applyAlignment="1">
      <alignment horizontal="right"/>
    </xf>
    <xf numFmtId="165" fontId="10" fillId="2" borderId="0" xfId="0" applyNumberFormat="1" applyFont="1" applyFill="1"/>
    <xf numFmtId="42" fontId="10" fillId="2" borderId="0" xfId="0" applyNumberFormat="1" applyFont="1" applyFill="1" applyAlignment="1">
      <alignment horizontal="right"/>
    </xf>
    <xf numFmtId="0" fontId="11" fillId="9" borderId="12" xfId="0" applyFont="1" applyFill="1" applyBorder="1" applyAlignment="1">
      <alignment vertical="center" wrapText="1"/>
    </xf>
    <xf numFmtId="42" fontId="10" fillId="9" borderId="22" xfId="1" applyNumberFormat="1" applyFont="1" applyFill="1" applyBorder="1" applyAlignment="1">
      <alignment horizontal="right"/>
    </xf>
    <xf numFmtId="42" fontId="11" fillId="6" borderId="2" xfId="1" applyNumberFormat="1" applyFont="1" applyFill="1" applyBorder="1" applyAlignment="1">
      <alignment horizontal="right"/>
    </xf>
    <xf numFmtId="0" fontId="10" fillId="2" borderId="29" xfId="0" applyFont="1" applyFill="1" applyBorder="1" applyAlignment="1"/>
    <xf numFmtId="0" fontId="10" fillId="2" borderId="0" xfId="0" applyFont="1" applyFill="1" applyBorder="1" applyAlignment="1"/>
    <xf numFmtId="0" fontId="11" fillId="7" borderId="20" xfId="0" applyFont="1" applyFill="1" applyBorder="1" applyAlignment="1">
      <alignment horizontal="left"/>
    </xf>
    <xf numFmtId="168" fontId="12" fillId="7" borderId="14" xfId="0" applyNumberFormat="1" applyFont="1" applyFill="1" applyBorder="1" applyAlignment="1">
      <alignment horizontal="left"/>
    </xf>
    <xf numFmtId="168" fontId="10" fillId="7" borderId="14" xfId="0" applyNumberFormat="1" applyFont="1" applyFill="1" applyBorder="1" applyAlignment="1">
      <alignment horizontal="left"/>
    </xf>
    <xf numFmtId="0" fontId="11" fillId="7" borderId="14" xfId="0" applyFont="1" applyFill="1" applyBorder="1" applyAlignment="1">
      <alignment horizontal="left"/>
    </xf>
    <xf numFmtId="0" fontId="10" fillId="7" borderId="14" xfId="0" applyFont="1" applyFill="1" applyBorder="1" applyAlignment="1">
      <alignment horizontal="left"/>
    </xf>
    <xf numFmtId="0" fontId="9" fillId="7" borderId="15" xfId="3" applyFill="1" applyBorder="1" applyAlignment="1" applyProtection="1">
      <alignment horizontal="left"/>
    </xf>
    <xf numFmtId="0" fontId="10" fillId="7" borderId="15" xfId="0" applyFont="1" applyFill="1" applyBorder="1" applyAlignment="1">
      <alignment horizontal="left"/>
    </xf>
    <xf numFmtId="0" fontId="11" fillId="6" borderId="19" xfId="0" applyFont="1" applyFill="1" applyBorder="1" applyAlignment="1">
      <alignment horizontal="center"/>
    </xf>
    <xf numFmtId="0" fontId="11" fillId="2" borderId="0" xfId="0" applyFont="1" applyFill="1" applyBorder="1" applyAlignment="1">
      <alignment horizontal="center"/>
    </xf>
    <xf numFmtId="0" fontId="11" fillId="2" borderId="30" xfId="0" applyFont="1" applyFill="1" applyBorder="1" applyAlignment="1">
      <alignment horizontal="center"/>
    </xf>
    <xf numFmtId="0" fontId="11" fillId="2" borderId="29" xfId="0" applyFont="1" applyFill="1" applyBorder="1" applyAlignment="1"/>
    <xf numFmtId="0" fontId="11" fillId="2" borderId="0" xfId="0" applyFont="1" applyFill="1" applyBorder="1" applyAlignment="1">
      <alignment horizontal="right" wrapText="1"/>
    </xf>
    <xf numFmtId="0" fontId="11" fillId="2" borderId="34" xfId="0" applyFont="1" applyFill="1" applyBorder="1" applyAlignment="1">
      <alignment horizontal="right" wrapText="1"/>
    </xf>
    <xf numFmtId="0" fontId="1" fillId="2" borderId="0" xfId="0" applyFont="1" applyFill="1" applyBorder="1" applyAlignment="1">
      <alignment horizontal="right" wrapText="1"/>
    </xf>
    <xf numFmtId="0" fontId="11" fillId="6" borderId="10" xfId="0" applyFont="1" applyFill="1" applyBorder="1" applyAlignment="1">
      <alignment horizontal="center"/>
    </xf>
    <xf numFmtId="0" fontId="10" fillId="6" borderId="1" xfId="0" applyFont="1" applyFill="1" applyBorder="1" applyAlignment="1"/>
    <xf numFmtId="0" fontId="10" fillId="6" borderId="17" xfId="0" applyFont="1" applyFill="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6" fillId="2" borderId="0" xfId="0" applyFont="1" applyFill="1" applyAlignment="1">
      <alignment horizontal="left" vertical="center" wrapText="1"/>
    </xf>
    <xf numFmtId="0" fontId="0" fillId="2" borderId="0" xfId="0" applyFill="1" applyAlignment="1">
      <alignment wrapText="1"/>
    </xf>
    <xf numFmtId="0" fontId="3" fillId="2" borderId="30" xfId="0" applyFont="1" applyFill="1" applyBorder="1" applyAlignment="1">
      <alignment horizontal="left"/>
    </xf>
    <xf numFmtId="0" fontId="11" fillId="0" borderId="32" xfId="0" applyFont="1" applyBorder="1" applyAlignment="1">
      <alignment horizontal="center" wrapText="1"/>
    </xf>
    <xf numFmtId="0" fontId="11" fillId="0" borderId="7" xfId="0" applyFont="1" applyBorder="1" applyAlignment="1">
      <alignment horizontal="center" wrapText="1"/>
    </xf>
    <xf numFmtId="0" fontId="11" fillId="0" borderId="33" xfId="0" applyFont="1" applyBorder="1" applyAlignment="1">
      <alignment horizontal="center" wrapText="1"/>
    </xf>
    <xf numFmtId="0" fontId="11" fillId="2" borderId="32" xfId="0" applyFont="1" applyFill="1" applyBorder="1" applyAlignment="1">
      <alignment horizontal="center"/>
    </xf>
    <xf numFmtId="0" fontId="11" fillId="2" borderId="7" xfId="0" applyFont="1" applyFill="1" applyBorder="1" applyAlignment="1">
      <alignment horizontal="center"/>
    </xf>
    <xf numFmtId="0" fontId="11" fillId="2" borderId="33" xfId="0" applyFont="1" applyFill="1" applyBorder="1" applyAlignment="1">
      <alignment horizontal="center"/>
    </xf>
    <xf numFmtId="0" fontId="11" fillId="7" borderId="20" xfId="0" applyFont="1" applyFill="1" applyBorder="1" applyAlignment="1">
      <alignment horizontal="center"/>
    </xf>
    <xf numFmtId="168" fontId="10" fillId="7" borderId="14" xfId="0" applyNumberFormat="1" applyFont="1" applyFill="1" applyBorder="1" applyAlignment="1">
      <alignment horizontal="center"/>
    </xf>
    <xf numFmtId="0" fontId="10" fillId="7" borderId="14" xfId="0" applyFont="1" applyFill="1" applyBorder="1" applyAlignment="1">
      <alignment horizontal="center"/>
    </xf>
    <xf numFmtId="0" fontId="9" fillId="7" borderId="15" xfId="3" applyFill="1" applyBorder="1" applyAlignment="1" applyProtection="1">
      <alignment horizontal="center"/>
    </xf>
    <xf numFmtId="0" fontId="10" fillId="7" borderId="15" xfId="0" applyFont="1" applyFill="1" applyBorder="1" applyAlignment="1">
      <alignment horizontal="center"/>
    </xf>
    <xf numFmtId="165" fontId="10" fillId="7" borderId="23" xfId="1" applyNumberFormat="1" applyFont="1" applyFill="1" applyBorder="1" applyAlignment="1">
      <alignment horizontal="center"/>
    </xf>
    <xf numFmtId="165" fontId="10" fillId="7" borderId="14" xfId="1" applyNumberFormat="1" applyFont="1" applyFill="1" applyBorder="1" applyAlignment="1">
      <alignment horizontal="center"/>
    </xf>
    <xf numFmtId="165" fontId="10" fillId="7" borderId="6" xfId="1" applyNumberFormat="1" applyFont="1" applyFill="1" applyBorder="1" applyAlignment="1">
      <alignment horizontal="center"/>
    </xf>
    <xf numFmtId="0" fontId="11" fillId="6" borderId="11" xfId="0" applyFont="1" applyFill="1" applyBorder="1" applyAlignment="1">
      <alignment horizontal="center"/>
    </xf>
    <xf numFmtId="0" fontId="10" fillId="6" borderId="2" xfId="0" applyFont="1" applyFill="1" applyBorder="1" applyAlignment="1">
      <alignment horizontal="center"/>
    </xf>
    <xf numFmtId="0" fontId="10" fillId="6" borderId="18" xfId="0" applyFont="1" applyFill="1" applyBorder="1" applyAlignment="1">
      <alignment horizontal="center"/>
    </xf>
    <xf numFmtId="165" fontId="10" fillId="7" borderId="18" xfId="1" applyNumberFormat="1" applyFont="1" applyFill="1" applyBorder="1" applyAlignment="1">
      <alignment horizontal="center"/>
    </xf>
    <xf numFmtId="165" fontId="10" fillId="7" borderId="15" xfId="1" applyNumberFormat="1" applyFont="1" applyFill="1" applyBorder="1" applyAlignment="1">
      <alignment horizontal="center"/>
    </xf>
    <xf numFmtId="165" fontId="10" fillId="7" borderId="11" xfId="1" applyNumberFormat="1" applyFont="1" applyFill="1" applyBorder="1" applyAlignment="1">
      <alignment horizontal="center"/>
    </xf>
    <xf numFmtId="0" fontId="14" fillId="2" borderId="30" xfId="0" applyFont="1" applyFill="1" applyBorder="1" applyAlignment="1">
      <alignment horizontal="center"/>
    </xf>
    <xf numFmtId="165" fontId="10" fillId="7" borderId="17" xfId="1" applyNumberFormat="1" applyFont="1" applyFill="1" applyBorder="1" applyAlignment="1">
      <alignment horizontal="center"/>
    </xf>
    <xf numFmtId="165" fontId="10" fillId="7" borderId="20" xfId="1" applyNumberFormat="1" applyFont="1" applyFill="1" applyBorder="1" applyAlignment="1">
      <alignment horizontal="center"/>
    </xf>
    <xf numFmtId="165" fontId="10" fillId="7" borderId="10" xfId="1" applyNumberFormat="1" applyFont="1" applyFill="1" applyBorder="1" applyAlignment="1">
      <alignment horizontal="center"/>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1</xdr:col>
      <xdr:colOff>0</xdr:colOff>
      <xdr:row>33</xdr:row>
      <xdr:rowOff>1</xdr:rowOff>
    </xdr:from>
    <xdr:to>
      <xdr:col>8</xdr:col>
      <xdr:colOff>76200</xdr:colOff>
      <xdr:row>62</xdr:row>
      <xdr:rowOff>152400</xdr:rowOff>
    </xdr:to>
    <xdr:sp macro="" textlink="">
      <xdr:nvSpPr>
        <xdr:cNvPr id="2" name="TextBox 1"/>
        <xdr:cNvSpPr txBox="1"/>
      </xdr:nvSpPr>
      <xdr:spPr>
        <a:xfrm>
          <a:off x="209550" y="7191376"/>
          <a:ext cx="6791325" cy="4848224"/>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2014 Conservation Achievement Annual Report </a:t>
          </a:r>
        </a:p>
        <a:p>
          <a:r>
            <a:rPr lang="en-US" sz="1100"/>
            <a:t>The Energy Independence Act (EIA) “RCW 19.285.070, Reporting and Public Disclosure” requires each qualifying utility to develop an annual report describing compliance with the Act. Commerce has developed a template to ensure consistent reporting from all utilities. The Clark Public Utilities (Clark) template contains all the data that is necessary to complete the public reporting requirement. </a:t>
          </a:r>
        </a:p>
        <a:p>
          <a:endParaRPr lang="en-US" sz="1100"/>
        </a:p>
        <a:p>
          <a:r>
            <a:rPr lang="en-US" sz="1100"/>
            <a:t>The Clark conservation potential assessment or Utility Analysis was approved at the December 10, 2013 Commissioners meeting. The Clark 2014-2015 biennial target and 2014-2023 ten-year potential per Chapter 194-37-070 WAC were adopted at a public meeting on December 17, 2013 and reported to Commerce prior to January 1, 2014.  The biennial conservation target of 10.03 aMW and the 10-year potential of 56.40 aMW were established using the 2014-2015 aMW in the Option 3 “Utility Analysis Option” (WAC 194-37-070-6).  </a:t>
          </a:r>
        </a:p>
        <a:p>
          <a:r>
            <a:rPr lang="en-US" sz="1100"/>
            <a:t> </a:t>
          </a:r>
        </a:p>
        <a:p>
          <a:r>
            <a:rPr lang="en-US" sz="1100"/>
            <a:t>Documenting 2014 Conservation Achievements</a:t>
          </a:r>
        </a:p>
        <a:p>
          <a:r>
            <a:rPr lang="en-US" sz="1100"/>
            <a:t>Clark’s conservation report summarizes 2014 conservation achievement halfway through the 2014-2015 biennium. In the “Achievement” section of the report template only includes values that have been documented to date. The total electricity savings of 66,716 MWh or 7.61 aMW and utility expenditures of $7,163,156.00 are reported by customer sector (residential, commercial, and industrial).  Clark is not reporting any savings or cost for the agricultural sector, production efficiencies, and distribution efficiencies. The sectors listed are per WAC 194-37-060. Because it is a major category, staff also included NEEA as a separate category. </a:t>
          </a:r>
        </a:p>
        <a:p>
          <a:r>
            <a:rPr lang="en-US" sz="1100"/>
            <a:t> </a:t>
          </a:r>
        </a:p>
        <a:p>
          <a:r>
            <a:rPr lang="en-US" sz="1100"/>
            <a:t>Action</a:t>
          </a:r>
        </a:p>
        <a:p>
          <a:r>
            <a:rPr lang="en-US" sz="1100"/>
            <a:t>By resolution, at the public meeting on May 12, 2015, the utility’s commissioners approved the 2014 annual conservation report to document the utility’s progress to meet the 2014-2015 conservation targets .</a:t>
          </a:r>
        </a:p>
      </xdr:txBody>
    </xdr:sp>
    <xdr:clientData/>
  </xdr:twoCellAnchor>
  <xdr:twoCellAnchor>
    <xdr:from>
      <xdr:col>6</xdr:col>
      <xdr:colOff>781050</xdr:colOff>
      <xdr:row>15</xdr:row>
      <xdr:rowOff>257175</xdr:rowOff>
    </xdr:from>
    <xdr:to>
      <xdr:col>7</xdr:col>
      <xdr:colOff>942975</xdr:colOff>
      <xdr:row>22</xdr:row>
      <xdr:rowOff>28575</xdr:rowOff>
    </xdr:to>
    <xdr:sp macro="" textlink="">
      <xdr:nvSpPr>
        <xdr:cNvPr id="3" name="TextBox 2"/>
        <xdr:cNvSpPr txBox="1"/>
      </xdr:nvSpPr>
      <xdr:spPr>
        <a:xfrm>
          <a:off x="5724525" y="3571875"/>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105</xdr:row>
      <xdr:rowOff>38100</xdr:rowOff>
    </xdr:to>
    <xdr:sp macro="" textlink="">
      <xdr:nvSpPr>
        <xdr:cNvPr id="2" name="TextBox 1"/>
        <xdr:cNvSpPr txBox="1"/>
      </xdr:nvSpPr>
      <xdr:spPr>
        <a:xfrm>
          <a:off x="180974" y="20093940"/>
          <a:ext cx="11477625" cy="96774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1) Pursuant to WAC 194-37-040(2) Clark defines it's total annual retail revenue requirement </a:t>
          </a:r>
          <a:r>
            <a:rPr lang="en-US" sz="1100" baseline="0">
              <a:solidFill>
                <a:schemeClr val="dk1"/>
              </a:solidFill>
              <a:effectLst/>
              <a:latin typeface="+mn-lt"/>
              <a:ea typeface="+mn-ea"/>
              <a:cs typeface="+mn-cs"/>
            </a:rPr>
            <a:t>as total actual expenses less actual off-system sales, actual miscellaneous income, actual extraordinary income and actual non-operating income (this report contains 4 months of actuals, January -April and 8 months of budget, May-December) TARRR = $</a:t>
          </a:r>
          <a:r>
            <a:rPr lang="en-US" sz="1100" baseline="0">
              <a:solidFill>
                <a:sysClr val="windowText" lastClr="000000"/>
              </a:solidFill>
              <a:effectLst/>
              <a:latin typeface="+mn-lt"/>
              <a:ea typeface="+mn-ea"/>
              <a:cs typeface="+mn-cs"/>
            </a:rPr>
            <a:t>344,925,645</a:t>
          </a:r>
          <a:endParaRPr lang="en-US">
            <a:solidFill>
              <a:sysClr val="windowText" lastClr="000000"/>
            </a:solidFill>
            <a:effectLst/>
          </a:endParaRPr>
        </a:p>
        <a:p>
          <a:r>
            <a:rPr lang="en-US" sz="1100" baseline="0">
              <a:solidFill>
                <a:schemeClr val="dk1"/>
              </a:solidFill>
              <a:effectLst/>
              <a:latin typeface="+mn-lt"/>
              <a:ea typeface="+mn-ea"/>
              <a:cs typeface="+mn-cs"/>
            </a:rPr>
            <a:t>	1% investment threshold: $</a:t>
          </a:r>
          <a:r>
            <a:rPr lang="en-US" sz="1100" baseline="0">
              <a:solidFill>
                <a:sysClr val="windowText" lastClr="000000"/>
              </a:solidFill>
              <a:effectLst/>
              <a:latin typeface="+mn-lt"/>
              <a:ea typeface="+mn-ea"/>
              <a:cs typeface="+mn-cs"/>
            </a:rPr>
            <a:t>3,449,256</a:t>
          </a:r>
          <a:endParaRPr lang="en-US">
            <a:solidFill>
              <a:sysClr val="windowText" lastClr="000000"/>
            </a:solidFill>
            <a:effectLst/>
          </a:endParaRPr>
        </a:p>
        <a:p>
          <a:r>
            <a:rPr lang="en-US" sz="1100" baseline="0">
              <a:solidFill>
                <a:sysClr val="windowText" lastClr="000000"/>
              </a:solidFill>
              <a:effectLst/>
              <a:latin typeface="+mn-lt"/>
              <a:ea typeface="+mn-ea"/>
              <a:cs typeface="+mn-cs"/>
            </a:rPr>
            <a:t>	4% investment threshold: $13,797,026</a:t>
          </a:r>
          <a:endParaRPr lang="en-US">
            <a:solidFill>
              <a:sysClr val="windowText" lastClr="000000"/>
            </a:solidFill>
            <a:effectLst/>
          </a:endParaRPr>
        </a:p>
        <a:p>
          <a:endParaRPr lang="en-US"/>
        </a:p>
      </xdr:txBody>
    </xdr:sp>
    <xdr:clientData/>
  </xdr:twoCellAnchor>
  <xdr:twoCellAnchor>
    <xdr:from>
      <xdr:col>0</xdr:col>
      <xdr:colOff>161925</xdr:colOff>
      <xdr:row>107</xdr:row>
      <xdr:rowOff>60961</xdr:rowOff>
    </xdr:from>
    <xdr:to>
      <xdr:col>14</xdr:col>
      <xdr:colOff>647701</xdr:colOff>
      <xdr:row>135</xdr:row>
      <xdr:rowOff>38101</xdr:rowOff>
    </xdr:to>
    <xdr:sp macro="" textlink="">
      <xdr:nvSpPr>
        <xdr:cNvPr id="3" name="TextBox 2"/>
        <xdr:cNvSpPr txBox="1"/>
      </xdr:nvSpPr>
      <xdr:spPr>
        <a:xfrm>
          <a:off x="161925" y="21419821"/>
          <a:ext cx="11534776" cy="4671060"/>
        </a:xfrm>
        <a:prstGeom prst="rect">
          <a:avLst/>
        </a:prstGeom>
        <a:solidFill>
          <a:schemeClr val="accent3">
            <a:lumMod val="20000"/>
            <a:lumOff val="80000"/>
          </a:schemeClr>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aseline="0">
              <a:solidFill>
                <a:schemeClr val="dk1"/>
              </a:solidFill>
              <a:effectLst/>
              <a:latin typeface="+mn-lt"/>
              <a:ea typeface="+mn-ea"/>
              <a:cs typeface="+mn-cs"/>
            </a:rPr>
            <a:t>2) All of the energy associated with Combine Hills II wind project is re-sold for the entire calendar year 2014.  The environmental attributes or RECs were not included in the resale (only the energy was re-sold).  The assumed output, </a:t>
          </a:r>
          <a:r>
            <a:rPr lang="en-US" sz="1100" baseline="0">
              <a:solidFill>
                <a:sysClr val="windowText" lastClr="000000"/>
              </a:solidFill>
              <a:effectLst/>
              <a:latin typeface="+mn-lt"/>
              <a:ea typeface="+mn-ea"/>
              <a:cs typeface="+mn-cs"/>
            </a:rPr>
            <a:t>144,149</a:t>
          </a:r>
          <a:r>
            <a:rPr lang="en-US" sz="1100" baseline="0">
              <a:solidFill>
                <a:schemeClr val="dk1"/>
              </a:solidFill>
              <a:effectLst/>
              <a:latin typeface="+mn-lt"/>
              <a:ea typeface="+mn-ea"/>
              <a:cs typeface="+mn-cs"/>
            </a:rPr>
            <a:t> MWh, of Combine Hills II is 4 months of actuals January-April and 8 months of budget May-December.</a:t>
          </a:r>
          <a:endParaRPr lang="en-US">
            <a:effectLst/>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3) Gross Investment in eligible renewables and REC s include:</a:t>
          </a:r>
          <a:endParaRPr lang="en-US">
            <a:effectLst/>
          </a:endParaRPr>
        </a:p>
        <a:p>
          <a:r>
            <a:rPr lang="en-US" sz="1100" baseline="0">
              <a:solidFill>
                <a:schemeClr val="dk1"/>
              </a:solidFill>
              <a:effectLst/>
              <a:latin typeface="+mn-lt"/>
              <a:ea typeface="+mn-ea"/>
              <a:cs typeface="+mn-cs"/>
            </a:rPr>
            <a:t>	Combine Hills I</a:t>
          </a:r>
          <a:r>
            <a:rPr lang="en-US" sz="1100" baseline="0">
              <a:solidFill>
                <a:sysClr val="windowText" lastClr="000000"/>
              </a:solidFill>
              <a:effectLst/>
              <a:latin typeface="+mn-lt"/>
              <a:ea typeface="+mn-ea"/>
              <a:cs typeface="+mn-cs"/>
            </a:rPr>
            <a:t>I: $15,391,432</a:t>
          </a:r>
          <a:endParaRPr lang="en-US">
            <a:solidFill>
              <a:sysClr val="windowText" lastClr="000000"/>
            </a:solidFill>
            <a:effectLst/>
          </a:endParaRPr>
        </a:p>
        <a:p>
          <a:r>
            <a:rPr lang="en-US" sz="1100" baseline="0">
              <a:solidFill>
                <a:sysClr val="windowText" lastClr="000000"/>
              </a:solidFill>
              <a:effectLst/>
              <a:latin typeface="+mn-lt"/>
              <a:ea typeface="+mn-ea"/>
              <a:cs typeface="+mn-cs"/>
            </a:rPr>
            <a:t>	BPA Tier I :To be calculated after-the-fact</a:t>
          </a:r>
          <a:endParaRPr lang="en-US">
            <a:solidFill>
              <a:sysClr val="windowText" lastClr="000000"/>
            </a:solidFill>
            <a:effectLst/>
          </a:endParaRPr>
        </a:p>
        <a:p>
          <a:r>
            <a:rPr lang="en-US" sz="1100">
              <a:solidFill>
                <a:sysClr val="windowText" lastClr="000000"/>
              </a:solidFill>
              <a:effectLst/>
              <a:latin typeface="+mn-lt"/>
              <a:ea typeface="+mn-ea"/>
              <a:cs typeface="+mn-cs"/>
            </a:rPr>
            <a:t>	</a:t>
          </a:r>
          <a:r>
            <a:rPr lang="en-US" sz="1100" u="sng">
              <a:solidFill>
                <a:sysClr val="windowText" lastClr="000000"/>
              </a:solidFill>
              <a:effectLst/>
              <a:latin typeface="+mn-lt"/>
              <a:ea typeface="+mn-ea"/>
              <a:cs typeface="+mn-cs"/>
            </a:rPr>
            <a:t>Total:</a:t>
          </a:r>
          <a:r>
            <a:rPr lang="en-US" sz="1100" u="sng" baseline="0">
              <a:solidFill>
                <a:sysClr val="windowText" lastClr="000000"/>
              </a:solidFill>
              <a:effectLst/>
              <a:latin typeface="+mn-lt"/>
              <a:ea typeface="+mn-ea"/>
              <a:cs typeface="+mn-cs"/>
            </a:rPr>
            <a:t> $15,391,432</a:t>
          </a:r>
          <a:endParaRPr lang="en-US">
            <a:solidFill>
              <a:sysClr val="windowText" lastClr="000000"/>
            </a:solidFill>
            <a:effectLst/>
          </a:endParaRPr>
        </a:p>
        <a:p>
          <a:r>
            <a:rPr lang="en-US" sz="1100" baseline="0">
              <a:solidFill>
                <a:schemeClr val="dk1"/>
              </a:solidFill>
              <a:effectLst/>
              <a:latin typeface="+mn-lt"/>
              <a:ea typeface="+mn-ea"/>
              <a:cs typeface="+mn-cs"/>
            </a:rPr>
            <a:t>Percent of gross investment in eligible renewable resources and RECs of total annual retail revenue requirement </a:t>
          </a:r>
          <a:r>
            <a:rPr lang="en-US" sz="1100" baseline="0">
              <a:solidFill>
                <a:sysClr val="windowText" lastClr="000000"/>
              </a:solidFill>
              <a:effectLst/>
              <a:latin typeface="+mn-lt"/>
              <a:ea typeface="+mn-ea"/>
              <a:cs typeface="+mn-cs"/>
            </a:rPr>
            <a:t>4.66</a:t>
          </a:r>
          <a:r>
            <a:rPr lang="en-US" sz="1100" baseline="0">
              <a:solidFill>
                <a:schemeClr val="dk1"/>
              </a:solidFill>
              <a:effectLst/>
              <a:latin typeface="+mn-lt"/>
              <a:ea typeface="+mn-ea"/>
              <a:cs typeface="+mn-cs"/>
            </a:rPr>
            <a:t>%</a:t>
          </a:r>
          <a:endParaRPr lang="en-US">
            <a:effectLst/>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4) Total Net Investment in RECs include:</a:t>
          </a:r>
          <a:endParaRPr lang="en-US">
            <a:effectLst/>
          </a:endParaRPr>
        </a:p>
        <a:p>
          <a:r>
            <a:rPr lang="en-US" sz="1100" baseline="0">
              <a:solidFill>
                <a:schemeClr val="dk1"/>
              </a:solidFill>
              <a:effectLst/>
              <a:latin typeface="+mn-lt"/>
              <a:ea typeface="+mn-ea"/>
              <a:cs typeface="+mn-cs"/>
            </a:rPr>
            <a:t>	Combine Hills II: </a:t>
          </a:r>
          <a:r>
            <a:rPr lang="en-US" sz="1100" baseline="0">
              <a:solidFill>
                <a:sysClr val="windowText" lastClr="000000"/>
              </a:solidFill>
              <a:effectLst/>
              <a:latin typeface="+mn-lt"/>
              <a:ea typeface="+mn-ea"/>
              <a:cs typeface="+mn-cs"/>
            </a:rPr>
            <a:t>$12,573,232</a:t>
          </a:r>
          <a:endParaRPr lang="en-US">
            <a:solidFill>
              <a:sysClr val="windowText" lastClr="000000"/>
            </a:solidFill>
            <a:effectLst/>
          </a:endParaRPr>
        </a:p>
        <a:p>
          <a:r>
            <a:rPr lang="en-US" sz="1100" baseline="0">
              <a:solidFill>
                <a:sysClr val="windowText" lastClr="000000"/>
              </a:solidFill>
              <a:effectLst/>
              <a:latin typeface="+mn-lt"/>
              <a:ea typeface="+mn-ea"/>
              <a:cs typeface="+mn-cs"/>
            </a:rPr>
            <a:t>	</a:t>
          </a:r>
          <a:r>
            <a:rPr lang="en-US" sz="1100" u="sng" baseline="0">
              <a:solidFill>
                <a:sysClr val="windowText" lastClr="000000"/>
              </a:solidFill>
              <a:effectLst/>
              <a:latin typeface="+mn-lt"/>
              <a:ea typeface="+mn-ea"/>
              <a:cs typeface="+mn-cs"/>
            </a:rPr>
            <a:t>Total: $12,573,232</a:t>
          </a:r>
          <a:endParaRPr lang="en-US">
            <a:solidFill>
              <a:sysClr val="windowText" lastClr="000000"/>
            </a:solidFill>
            <a:effectLst/>
          </a:endParaRPr>
        </a:p>
        <a:p>
          <a:r>
            <a:rPr lang="en-US" sz="1100" baseline="0">
              <a:solidFill>
                <a:schemeClr val="dk1"/>
              </a:solidFill>
              <a:effectLst/>
              <a:latin typeface="+mn-lt"/>
              <a:ea typeface="+mn-ea"/>
              <a:cs typeface="+mn-cs"/>
            </a:rPr>
            <a:t>Percent of incremental investment in eligible renewable resources and RECs of total annual retail revenue requirement </a:t>
          </a:r>
          <a:r>
            <a:rPr lang="en-US" sz="1100" baseline="0">
              <a:solidFill>
                <a:sysClr val="windowText" lastClr="000000"/>
              </a:solidFill>
              <a:effectLst/>
              <a:latin typeface="+mn-lt"/>
              <a:ea typeface="+mn-ea"/>
              <a:cs typeface="+mn-cs"/>
            </a:rPr>
            <a:t>3.65% </a:t>
          </a:r>
          <a:endParaRPr lang="en-US">
            <a:solidFill>
              <a:sysClr val="windowText" lastClr="000000"/>
            </a:solidFill>
            <a:effectLst/>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5) Weather adjusted load:</a:t>
          </a:r>
          <a:endParaRPr lang="en-US">
            <a:effectLst/>
          </a:endParaRPr>
        </a:p>
        <a:p>
          <a:r>
            <a:rPr lang="en-US" sz="1100">
              <a:solidFill>
                <a:schemeClr val="dk1"/>
              </a:solidFill>
              <a:effectLst/>
              <a:latin typeface="+mn-lt"/>
              <a:ea typeface="+mn-ea"/>
              <a:cs typeface="+mn-cs"/>
            </a:rPr>
            <a:t>	2011 =  4,424,917  MWh	3 year average 2012-2014 </a:t>
          </a:r>
          <a:r>
            <a:rPr lang="en-US" sz="1100">
              <a:solidFill>
                <a:sysClr val="windowText" lastClr="000000"/>
              </a:solidFill>
              <a:effectLst/>
              <a:latin typeface="+mn-lt"/>
              <a:ea typeface="+mn-ea"/>
              <a:cs typeface="+mn-cs"/>
            </a:rPr>
            <a:t>= 4,416,373</a:t>
          </a:r>
          <a:endParaRPr lang="en-US">
            <a:solidFill>
              <a:sysClr val="windowText" lastClr="000000"/>
            </a:solidFill>
            <a:effectLst/>
          </a:endParaRPr>
        </a:p>
        <a:p>
          <a:r>
            <a:rPr lang="en-US" sz="1100">
              <a:solidFill>
                <a:schemeClr val="dk1"/>
              </a:solidFill>
              <a:effectLst/>
              <a:latin typeface="+mn-lt"/>
              <a:ea typeface="+mn-ea"/>
              <a:cs typeface="+mn-cs"/>
            </a:rPr>
            <a:t>	2012 =  </a:t>
          </a:r>
          <a:r>
            <a:rPr lang="en-US" sz="1100" baseline="0">
              <a:solidFill>
                <a:schemeClr val="dk1"/>
              </a:solidFill>
              <a:effectLst/>
              <a:latin typeface="+mn-lt"/>
              <a:ea typeface="+mn-ea"/>
              <a:cs typeface="+mn-cs"/>
            </a:rPr>
            <a:t>4,422,462 </a:t>
          </a:r>
          <a:r>
            <a:rPr lang="en-US" sz="1100">
              <a:solidFill>
                <a:schemeClr val="dk1"/>
              </a:solidFill>
              <a:effectLst/>
              <a:latin typeface="+mn-lt"/>
              <a:ea typeface="+mn-ea"/>
              <a:cs typeface="+mn-cs"/>
            </a:rPr>
            <a:t>MWh	No</a:t>
          </a:r>
          <a:r>
            <a:rPr lang="en-US" sz="1100" baseline="0">
              <a:solidFill>
                <a:schemeClr val="dk1"/>
              </a:solidFill>
              <a:effectLst/>
              <a:latin typeface="+mn-lt"/>
              <a:ea typeface="+mn-ea"/>
              <a:cs typeface="+mn-cs"/>
            </a:rPr>
            <a:t> Growth compared to 4th year prior, 2011 </a:t>
          </a:r>
          <a:endParaRPr lang="en-US">
            <a:effectLst/>
          </a:endParaRPr>
        </a:p>
        <a:p>
          <a:r>
            <a:rPr lang="en-US" sz="1100">
              <a:solidFill>
                <a:schemeClr val="dk1"/>
              </a:solidFill>
              <a:effectLst/>
              <a:latin typeface="+mn-lt"/>
              <a:ea typeface="+mn-ea"/>
              <a:cs typeface="+mn-cs"/>
            </a:rPr>
            <a:t>	2013 =</a:t>
          </a:r>
          <a:r>
            <a:rPr lang="en-US" sz="1100" baseline="0">
              <a:solidFill>
                <a:schemeClr val="dk1"/>
              </a:solidFill>
              <a:effectLst/>
              <a:latin typeface="+mn-lt"/>
              <a:ea typeface="+mn-ea"/>
              <a:cs typeface="+mn-cs"/>
            </a:rPr>
            <a:t>  4,381,925 MWh</a:t>
          </a:r>
          <a:endParaRPr lang="en-US">
            <a:effectLst/>
          </a:endParaRPr>
        </a:p>
        <a:p>
          <a:r>
            <a:rPr lang="en-US" sz="1100" baseline="0">
              <a:solidFill>
                <a:schemeClr val="dk1"/>
              </a:solidFill>
              <a:effectLst/>
              <a:latin typeface="+mn-lt"/>
              <a:ea typeface="+mn-ea"/>
              <a:cs typeface="+mn-cs"/>
            </a:rPr>
            <a:t>	2014 </a:t>
          </a:r>
          <a:r>
            <a:rPr lang="en-US" sz="1100" baseline="0">
              <a:solidFill>
                <a:sysClr val="windowText" lastClr="000000"/>
              </a:solidFill>
              <a:effectLst/>
              <a:latin typeface="+mn-lt"/>
              <a:ea typeface="+mn-ea"/>
              <a:cs typeface="+mn-cs"/>
            </a:rPr>
            <a:t>= 4,444,733 </a:t>
          </a:r>
          <a:r>
            <a:rPr lang="en-US" sz="1100" baseline="0">
              <a:solidFill>
                <a:schemeClr val="dk1"/>
              </a:solidFill>
              <a:effectLst/>
              <a:latin typeface="+mn-lt"/>
              <a:ea typeface="+mn-ea"/>
              <a:cs typeface="+mn-cs"/>
            </a:rPr>
            <a:t>MWh</a:t>
          </a:r>
          <a:endParaRPr lang="en-US">
            <a:effectLst/>
          </a:endParaRPr>
        </a:p>
        <a:p>
          <a:r>
            <a:rPr lang="en-US" sz="1100" baseline="0">
              <a:solidFill>
                <a:schemeClr val="dk1"/>
              </a:solidFill>
              <a:effectLst/>
              <a:latin typeface="+mn-lt"/>
              <a:ea typeface="+mn-ea"/>
              <a:cs typeface="+mn-cs"/>
            </a:rPr>
            <a:t>6) For the no load growth option in </a:t>
          </a:r>
          <a:r>
            <a:rPr lang="en-US" sz="1100">
              <a:solidFill>
                <a:schemeClr val="dk1"/>
              </a:solidFill>
              <a:effectLst/>
              <a:latin typeface="+mn-lt"/>
              <a:ea typeface="+mn-ea"/>
              <a:cs typeface="+mn-cs"/>
            </a:rPr>
            <a:t>2015 compliance year tests stated in RCW</a:t>
          </a:r>
          <a:r>
            <a:rPr lang="en-US" sz="1100" baseline="0">
              <a:solidFill>
                <a:schemeClr val="dk1"/>
              </a:solidFill>
              <a:effectLst/>
              <a:latin typeface="+mn-lt"/>
              <a:ea typeface="+mn-ea"/>
              <a:cs typeface="+mn-cs"/>
            </a:rPr>
            <a:t> 19.285.040(2)(d)</a:t>
          </a:r>
          <a:r>
            <a:rPr lang="en-US" sz="1100">
              <a:solidFill>
                <a:schemeClr val="dk1"/>
              </a:solidFill>
              <a:effectLst/>
              <a:latin typeface="+mn-lt"/>
              <a:ea typeface="+mn-ea"/>
              <a:cs typeface="+mn-cs"/>
            </a:rPr>
            <a:t> (i)  compares the weather-adjusted average load during 2012, 2013 and 2014 to weather adjusted 2011 load (as defined by Clark's</a:t>
          </a:r>
          <a:r>
            <a:rPr lang="en-US" sz="1100" baseline="0">
              <a:solidFill>
                <a:schemeClr val="dk1"/>
              </a:solidFill>
              <a:effectLst/>
              <a:latin typeface="+mn-lt"/>
              <a:ea typeface="+mn-ea"/>
              <a:cs typeface="+mn-cs"/>
            </a:rPr>
            <a:t> governing board)</a:t>
          </a:r>
          <a:r>
            <a:rPr lang="en-US" sz="1100">
              <a:solidFill>
                <a:schemeClr val="dk1"/>
              </a:solidFill>
              <a:effectLst/>
              <a:latin typeface="+mn-lt"/>
              <a:ea typeface="+mn-ea"/>
              <a:cs typeface="+mn-cs"/>
            </a:rPr>
            <a:t>. Clark’s weather adjusted load for the previous 3 years on average (2012-2014), </a:t>
          </a:r>
          <a:r>
            <a:rPr lang="en-US" sz="1100">
              <a:solidFill>
                <a:sysClr val="windowText" lastClr="000000"/>
              </a:solidFill>
              <a:effectLst/>
              <a:latin typeface="+mn-lt"/>
              <a:ea typeface="+mn-ea"/>
              <a:cs typeface="+mn-cs"/>
            </a:rPr>
            <a:t>4,416,373</a:t>
          </a:r>
          <a:r>
            <a:rPr lang="en-US" sz="1100">
              <a:solidFill>
                <a:schemeClr val="dk1"/>
              </a:solidFill>
              <a:effectLst/>
              <a:latin typeface="+mn-lt"/>
              <a:ea typeface="+mn-ea"/>
              <a:cs typeface="+mn-cs"/>
            </a:rPr>
            <a:t> MWh, did not increase compared the fourth prior year’s (2011) weather adjusted load</a:t>
          </a:r>
          <a:r>
            <a:rPr lang="en-US" sz="1100">
              <a:solidFill>
                <a:sysClr val="windowText" lastClr="000000"/>
              </a:solidFill>
              <a:effectLst/>
              <a:latin typeface="+mn-lt"/>
              <a:ea typeface="+mn-ea"/>
              <a:cs typeface="+mn-cs"/>
            </a:rPr>
            <a:t>, 4,424,917 </a:t>
          </a:r>
          <a:r>
            <a:rPr lang="en-US" sz="1100">
              <a:solidFill>
                <a:schemeClr val="dk1"/>
              </a:solidFill>
              <a:effectLst/>
              <a:latin typeface="+mn-lt"/>
              <a:ea typeface="+mn-ea"/>
              <a:cs typeface="+mn-cs"/>
            </a:rPr>
            <a:t>MWh and, as such, Clark passes test (i). Clark passes test (ii)  as only renewable resources were purchased after December 7, 2006. Clark will pass test (iii), as investments in eligible renewable</a:t>
          </a:r>
          <a:r>
            <a:rPr lang="en-US" sz="1100" baseline="0">
              <a:solidFill>
                <a:schemeClr val="dk1"/>
              </a:solidFill>
              <a:effectLst/>
              <a:latin typeface="+mn-lt"/>
              <a:ea typeface="+mn-ea"/>
              <a:cs typeface="+mn-cs"/>
            </a:rPr>
            <a:t> resources and/or RECs for </a:t>
          </a:r>
          <a:r>
            <a:rPr lang="en-US" sz="1100">
              <a:solidFill>
                <a:schemeClr val="dk1"/>
              </a:solidFill>
              <a:effectLst/>
              <a:latin typeface="+mn-lt"/>
              <a:ea typeface="+mn-ea"/>
              <a:cs typeface="+mn-cs"/>
            </a:rPr>
            <a:t>2015 (Combine Hills II)  are projected to be </a:t>
          </a:r>
          <a:r>
            <a:rPr lang="en-US" sz="1100">
              <a:solidFill>
                <a:sysClr val="windowText" lastClr="000000"/>
              </a:solidFill>
              <a:effectLst/>
              <a:latin typeface="+mn-lt"/>
              <a:ea typeface="+mn-ea"/>
              <a:cs typeface="+mn-cs"/>
            </a:rPr>
            <a:t>3.65</a:t>
          </a:r>
          <a:r>
            <a:rPr lang="en-US" sz="1100">
              <a:solidFill>
                <a:srgbClr val="FF0000"/>
              </a:solidFill>
              <a:effectLst/>
              <a:latin typeface="+mn-lt"/>
              <a:ea typeface="+mn-ea"/>
              <a:cs typeface="+mn-cs"/>
            </a:rPr>
            <a:t> </a:t>
          </a:r>
          <a:r>
            <a:rPr lang="en-US" sz="1100">
              <a:solidFill>
                <a:schemeClr val="dk1"/>
              </a:solidFill>
              <a:effectLst/>
              <a:latin typeface="+mn-lt"/>
              <a:ea typeface="+mn-ea"/>
              <a:cs typeface="+mn-cs"/>
            </a:rPr>
            <a:t>percent of Clark’s 2015 projected total annual retail revenue requirement</a:t>
          </a:r>
        </a:p>
        <a:p>
          <a:endParaRPr lang="en-US">
            <a:effectLst/>
          </a:endParaRPr>
        </a:p>
        <a:p>
          <a:pPr eaLnBrk="1" fontAlgn="auto" latinLnBrk="0" hangingPunct="1"/>
          <a:r>
            <a:rPr lang="en-US" sz="1100" baseline="0">
              <a:solidFill>
                <a:schemeClr val="dk1"/>
              </a:solidFill>
              <a:effectLst/>
              <a:latin typeface="+mn-lt"/>
              <a:ea typeface="+mn-ea"/>
              <a:cs typeface="+mn-cs"/>
            </a:rPr>
            <a:t>7) The quantity and breakdown by project of projected BPA Tier I RECs are forecasted</a:t>
          </a:r>
          <a:endParaRPr lang="en-US">
            <a:effectLst/>
          </a:endParaRPr>
        </a:p>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2015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2015 for the purpose of meeting its Energy Independence Act (EIA) renewables target for 2015. The actual resources and RECs used to comply with the 2015 EIA target may vary from those reported here. Utilities will report in June of 2017 on the actual results for 2015.</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2015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19050</xdr:colOff>
          <xdr:row>8</xdr:row>
          <xdr:rowOff>9525</xdr:rowOff>
        </xdr:from>
        <xdr:to>
          <xdr:col>4</xdr:col>
          <xdr:colOff>571500</xdr:colOff>
          <xdr:row>9</xdr:row>
          <xdr:rowOff>19050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9</xdr:row>
          <xdr:rowOff>28575</xdr:rowOff>
        </xdr:from>
        <xdr:to>
          <xdr:col>5</xdr:col>
          <xdr:colOff>0</xdr:colOff>
          <xdr:row>10</xdr:row>
          <xdr:rowOff>28575</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10</xdr:row>
          <xdr:rowOff>66675</xdr:rowOff>
        </xdr:from>
        <xdr:to>
          <xdr:col>5</xdr:col>
          <xdr:colOff>114300</xdr:colOff>
          <xdr:row>11</xdr:row>
          <xdr:rowOff>9525</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0</xdr:colOff>
      <xdr:row>63</xdr:row>
      <xdr:rowOff>0</xdr:rowOff>
    </xdr:from>
    <xdr:to>
      <xdr:col>12</xdr:col>
      <xdr:colOff>0</xdr:colOff>
      <xdr:row>75</xdr:row>
      <xdr:rowOff>152400</xdr:rowOff>
    </xdr:to>
    <xdr:sp macro="" textlink="">
      <xdr:nvSpPr>
        <xdr:cNvPr id="2" name="TextBox 1"/>
        <xdr:cNvSpPr txBox="1"/>
      </xdr:nvSpPr>
      <xdr:spPr>
        <a:xfrm>
          <a:off x="180975" y="12611100"/>
          <a:ext cx="10296526" cy="22098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a:t>BPA Tier one renewables</a:t>
          </a:r>
          <a:r>
            <a:rPr lang="en-US" baseline="0"/>
            <a:t> costs are calculated after-the-fact.</a:t>
          </a:r>
        </a:p>
        <a:p>
          <a:endParaRPr lang="en-US" baseline="0"/>
        </a:p>
        <a:p>
          <a:r>
            <a:rPr lang="en-US" baseline="0"/>
            <a:t>Combine Hills II REC costs are calculated by taking the Power Purchase contract price plus transmission and ancillary services plus scheduling fees less remarketed energy. 2015 numbers reflect 4 months of actuals (January-April) and 8 months of budget (May-December).</a:t>
          </a:r>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glennbl\AppData\Local\Microsoft\Windows\Temporary%20Internet%20Files\Content.Outlook\9Z8AXIKT\FINAL%20Clark%20Conservation%20EIA-2015-ReportWorkbo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 2015"/>
      <sheetName val="Instructions - Revise 2013"/>
      <sheetName val="Conservation Report"/>
      <sheetName val="Renewables Report"/>
      <sheetName val="Renewable Cost Report"/>
      <sheetName val="Data"/>
    </sheetNames>
    <sheetDataSet>
      <sheetData sheetId="0"/>
      <sheetData sheetId="1"/>
      <sheetData sheetId="2"/>
      <sheetData sheetId="3">
        <row r="8">
          <cell r="N8">
            <v>0</v>
          </cell>
        </row>
        <row r="11">
          <cell r="N11">
            <v>0</v>
          </cell>
        </row>
        <row r="13">
          <cell r="N13" t="str">
            <v/>
          </cell>
        </row>
        <row r="18">
          <cell r="C18">
            <v>0</v>
          </cell>
          <cell r="D18">
            <v>0</v>
          </cell>
          <cell r="E18">
            <v>0</v>
          </cell>
          <cell r="F18">
            <v>0</v>
          </cell>
          <cell r="G18">
            <v>0</v>
          </cell>
          <cell r="H18">
            <v>0</v>
          </cell>
          <cell r="I18">
            <v>0</v>
          </cell>
          <cell r="J18">
            <v>0</v>
          </cell>
          <cell r="K18">
            <v>0</v>
          </cell>
          <cell r="L18">
            <v>0</v>
          </cell>
        </row>
        <row r="19">
          <cell r="D19">
            <v>0</v>
          </cell>
          <cell r="E19">
            <v>0</v>
          </cell>
          <cell r="F19">
            <v>0</v>
          </cell>
          <cell r="G19">
            <v>0</v>
          </cell>
          <cell r="H19">
            <v>0</v>
          </cell>
          <cell r="I19">
            <v>0</v>
          </cell>
          <cell r="J19">
            <v>0</v>
          </cell>
          <cell r="K19">
            <v>0</v>
          </cell>
          <cell r="L19">
            <v>0</v>
          </cell>
          <cell r="M19">
            <v>0</v>
          </cell>
        </row>
      </sheetData>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lblaufus@clarkpud.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llatendresse@clarkpud.com"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57"/>
  <sheetViews>
    <sheetView workbookViewId="0"/>
  </sheetViews>
  <sheetFormatPr defaultRowHeight="15" x14ac:dyDescent="0.25"/>
  <cols>
    <col min="1" max="1" width="135.140625" customWidth="1"/>
    <col min="14" max="14" width="11.7109375" customWidth="1"/>
  </cols>
  <sheetData>
    <row r="1" spans="1:14" ht="18.75" x14ac:dyDescent="0.25">
      <c r="A1" s="70" t="s">
        <v>106</v>
      </c>
    </row>
    <row r="2" spans="1:14" x14ac:dyDescent="0.25">
      <c r="A2" s="87" t="s">
        <v>118</v>
      </c>
    </row>
    <row r="3" spans="1:14" x14ac:dyDescent="0.25">
      <c r="A3" s="71"/>
      <c r="N3" s="86"/>
    </row>
    <row r="4" spans="1:14" x14ac:dyDescent="0.25">
      <c r="A4" s="72" t="s">
        <v>119</v>
      </c>
    </row>
    <row r="5" spans="1:14" x14ac:dyDescent="0.25">
      <c r="A5" s="72" t="s">
        <v>188</v>
      </c>
      <c r="N5">
        <f>IF(REN_Load_2013+REN_Load_2014&gt;0,AVERAGE(REN_Load_2013,REN_Load_2014),0)</f>
        <v>4410942</v>
      </c>
    </row>
    <row r="6" spans="1:14" x14ac:dyDescent="0.25">
      <c r="A6" s="73" t="s">
        <v>107</v>
      </c>
    </row>
    <row r="7" spans="1:14" x14ac:dyDescent="0.25">
      <c r="A7" s="71"/>
    </row>
    <row r="8" spans="1:14" ht="57" x14ac:dyDescent="0.25">
      <c r="A8" s="74" t="s">
        <v>177</v>
      </c>
    </row>
    <row r="9" spans="1:14" x14ac:dyDescent="0.25">
      <c r="A9" s="74"/>
    </row>
    <row r="10" spans="1:14" x14ac:dyDescent="0.25">
      <c r="A10" s="75" t="s">
        <v>178</v>
      </c>
    </row>
    <row r="11" spans="1:14" x14ac:dyDescent="0.25">
      <c r="A11" s="75"/>
    </row>
    <row r="12" spans="1:14" x14ac:dyDescent="0.25">
      <c r="A12" s="136" t="s">
        <v>179</v>
      </c>
    </row>
    <row r="13" spans="1:14" x14ac:dyDescent="0.25">
      <c r="A13" s="137" t="s">
        <v>180</v>
      </c>
    </row>
    <row r="14" spans="1:14" ht="44.25" x14ac:dyDescent="0.25">
      <c r="A14" s="76" t="s">
        <v>181</v>
      </c>
    </row>
    <row r="15" spans="1:14" x14ac:dyDescent="0.25">
      <c r="A15" s="71"/>
    </row>
    <row r="16" spans="1:14" ht="29.25" x14ac:dyDescent="0.25">
      <c r="A16" s="73" t="s">
        <v>108</v>
      </c>
    </row>
    <row r="17" spans="1:1" x14ac:dyDescent="0.25">
      <c r="A17" s="71"/>
    </row>
    <row r="18" spans="1:1" ht="18.75" x14ac:dyDescent="0.25">
      <c r="A18" s="77" t="s">
        <v>109</v>
      </c>
    </row>
    <row r="19" spans="1:1" ht="57.75" customHeight="1" x14ac:dyDescent="0.25">
      <c r="A19" s="72" t="s">
        <v>122</v>
      </c>
    </row>
    <row r="20" spans="1:1" x14ac:dyDescent="0.25">
      <c r="A20" s="71"/>
    </row>
    <row r="21" spans="1:1" x14ac:dyDescent="0.25">
      <c r="A21" s="78" t="s">
        <v>110</v>
      </c>
    </row>
    <row r="22" spans="1:1" ht="29.25" x14ac:dyDescent="0.25">
      <c r="A22" s="79" t="s">
        <v>156</v>
      </c>
    </row>
    <row r="23" spans="1:1" x14ac:dyDescent="0.25">
      <c r="A23" s="71"/>
    </row>
    <row r="24" spans="1:1" ht="43.5" x14ac:dyDescent="0.25">
      <c r="A24" s="72" t="s">
        <v>157</v>
      </c>
    </row>
    <row r="25" spans="1:1" x14ac:dyDescent="0.25">
      <c r="A25" s="80"/>
    </row>
    <row r="26" spans="1:1" ht="42.75" x14ac:dyDescent="0.25">
      <c r="A26" s="76" t="s">
        <v>111</v>
      </c>
    </row>
    <row r="27" spans="1:1" x14ac:dyDescent="0.25">
      <c r="A27" s="71"/>
    </row>
    <row r="28" spans="1:1" ht="43.5" x14ac:dyDescent="0.25">
      <c r="A28" s="73" t="s">
        <v>182</v>
      </c>
    </row>
    <row r="29" spans="1:1" x14ac:dyDescent="0.25">
      <c r="A29" s="71"/>
    </row>
    <row r="30" spans="1:1" x14ac:dyDescent="0.25">
      <c r="A30" s="73" t="s">
        <v>183</v>
      </c>
    </row>
    <row r="31" spans="1:1" x14ac:dyDescent="0.25">
      <c r="A31" s="71"/>
    </row>
    <row r="32" spans="1:1" ht="18.75" x14ac:dyDescent="0.25">
      <c r="A32" s="77" t="s">
        <v>112</v>
      </c>
    </row>
    <row r="33" spans="1:1" ht="42.75" x14ac:dyDescent="0.25">
      <c r="A33" s="76" t="s">
        <v>113</v>
      </c>
    </row>
    <row r="34" spans="1:1" x14ac:dyDescent="0.25">
      <c r="A34" s="71"/>
    </row>
    <row r="35" spans="1:1" ht="43.5" x14ac:dyDescent="0.25">
      <c r="A35" s="73" t="s">
        <v>184</v>
      </c>
    </row>
    <row r="36" spans="1:1" x14ac:dyDescent="0.25">
      <c r="A36" s="71"/>
    </row>
    <row r="37" spans="1:1" ht="43.5" x14ac:dyDescent="0.25">
      <c r="A37" s="73" t="s">
        <v>114</v>
      </c>
    </row>
    <row r="38" spans="1:1" x14ac:dyDescent="0.25">
      <c r="A38" s="71"/>
    </row>
    <row r="39" spans="1:1" ht="43.5" x14ac:dyDescent="0.25">
      <c r="A39" s="73" t="s">
        <v>185</v>
      </c>
    </row>
    <row r="40" spans="1:1" x14ac:dyDescent="0.25">
      <c r="A40" s="71"/>
    </row>
    <row r="41" spans="1:1" x14ac:dyDescent="0.25">
      <c r="A41" s="72" t="s">
        <v>158</v>
      </c>
    </row>
    <row r="42" spans="1:1" ht="28.5" x14ac:dyDescent="0.25">
      <c r="A42" s="76" t="s">
        <v>160</v>
      </c>
    </row>
    <row r="43" spans="1:1" ht="43.5" x14ac:dyDescent="0.25">
      <c r="A43" s="76" t="s">
        <v>159</v>
      </c>
    </row>
    <row r="44" spans="1:1" x14ac:dyDescent="0.25">
      <c r="A44" s="71"/>
    </row>
    <row r="45" spans="1:1" ht="57.75" x14ac:dyDescent="0.25">
      <c r="A45" s="81" t="s">
        <v>186</v>
      </c>
    </row>
    <row r="46" spans="1:1" x14ac:dyDescent="0.25">
      <c r="A46" s="71"/>
    </row>
    <row r="47" spans="1:1" ht="74.25" customHeight="1" x14ac:dyDescent="0.25">
      <c r="A47" s="73" t="s">
        <v>187</v>
      </c>
    </row>
    <row r="48" spans="1:1" x14ac:dyDescent="0.25">
      <c r="A48" s="71"/>
    </row>
    <row r="49" spans="1:1" ht="57.75" x14ac:dyDescent="0.25">
      <c r="A49" s="73" t="s">
        <v>161</v>
      </c>
    </row>
    <row r="50" spans="1:1" x14ac:dyDescent="0.25">
      <c r="A50" s="71"/>
    </row>
    <row r="51" spans="1:1" x14ac:dyDescent="0.25">
      <c r="A51" s="72" t="s">
        <v>115</v>
      </c>
    </row>
    <row r="52" spans="1:1" ht="28.5" x14ac:dyDescent="0.25">
      <c r="A52" s="76" t="s">
        <v>162</v>
      </c>
    </row>
    <row r="53" spans="1:1" x14ac:dyDescent="0.25">
      <c r="A53" s="71"/>
    </row>
    <row r="54" spans="1:1" x14ac:dyDescent="0.25">
      <c r="A54" s="72" t="s">
        <v>116</v>
      </c>
    </row>
    <row r="55" spans="1:1" ht="28.5" x14ac:dyDescent="0.25">
      <c r="A55" s="76" t="s">
        <v>163</v>
      </c>
    </row>
    <row r="56" spans="1:1" x14ac:dyDescent="0.25">
      <c r="A56" s="71"/>
    </row>
    <row r="57" spans="1:1" ht="15.75" thickBot="1" x14ac:dyDescent="0.3">
      <c r="A57" s="82" t="s">
        <v>117</v>
      </c>
    </row>
  </sheetData>
  <pageMargins left="0.7" right="0.7" top="0.75" bottom="0.75" header="0.3" footer="0.3"/>
  <pageSetup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A11" sqref="A11"/>
    </sheetView>
  </sheetViews>
  <sheetFormatPr defaultRowHeight="15" x14ac:dyDescent="0.25"/>
  <cols>
    <col min="1" max="1" width="107" customWidth="1"/>
    <col min="14" max="14" width="11.7109375" customWidth="1"/>
  </cols>
  <sheetData>
    <row r="1" spans="1:14" ht="18.75" x14ac:dyDescent="0.25">
      <c r="A1" s="66" t="s">
        <v>189</v>
      </c>
    </row>
    <row r="2" spans="1:14" ht="18.75" x14ac:dyDescent="0.25">
      <c r="A2" s="67"/>
    </row>
    <row r="3" spans="1:14" ht="57" x14ac:dyDescent="0.25">
      <c r="A3" s="68" t="s">
        <v>190</v>
      </c>
      <c r="N3" s="86"/>
    </row>
    <row r="4" spans="1:14" x14ac:dyDescent="0.25">
      <c r="A4" s="68"/>
      <c r="N4" s="86"/>
    </row>
    <row r="5" spans="1:14" ht="86.25" x14ac:dyDescent="0.25">
      <c r="A5" s="68" t="s">
        <v>121</v>
      </c>
      <c r="N5" s="86"/>
    </row>
    <row r="6" spans="1:14" x14ac:dyDescent="0.25">
      <c r="A6" s="68"/>
    </row>
    <row r="7" spans="1:14" ht="29.25" thickBot="1" x14ac:dyDescent="0.3">
      <c r="A7" s="69" t="s">
        <v>120</v>
      </c>
      <c r="N7">
        <f>IF(REN_Load_2013+REN_Load_2014&gt;0,AVERAGE(REN_Load_2013,REN_Load_2014),0)</f>
        <v>4410942</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M33"/>
  <sheetViews>
    <sheetView zoomScaleNormal="100" workbookViewId="0">
      <selection activeCell="J25" sqref="J25"/>
    </sheetView>
  </sheetViews>
  <sheetFormatPr defaultColWidth="9.140625" defaultRowHeight="12.75" x14ac:dyDescent="0.2"/>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2" width="9.140625" style="1"/>
    <col min="13" max="13" width="11.7109375" style="1" customWidth="1"/>
    <col min="14" max="16384" width="9.140625" style="1"/>
  </cols>
  <sheetData>
    <row r="1" spans="1:13" s="7" customFormat="1" ht="19.5" x14ac:dyDescent="0.4">
      <c r="B1" s="55" t="s">
        <v>124</v>
      </c>
    </row>
    <row r="2" spans="1:13" ht="15" customHeight="1" x14ac:dyDescent="0.2">
      <c r="B2" s="2"/>
    </row>
    <row r="3" spans="1:13" ht="14.25" customHeight="1" x14ac:dyDescent="0.2">
      <c r="B3" s="3" t="s">
        <v>4</v>
      </c>
      <c r="C3" s="168" t="s">
        <v>214</v>
      </c>
      <c r="D3" s="168"/>
      <c r="E3" s="168"/>
      <c r="M3" s="85"/>
    </row>
    <row r="4" spans="1:13" ht="15" customHeight="1" x14ac:dyDescent="0.2">
      <c r="B4" s="4" t="s">
        <v>64</v>
      </c>
      <c r="C4" s="169">
        <v>42136</v>
      </c>
      <c r="D4" s="170"/>
      <c r="E4" s="170"/>
      <c r="F4" s="13"/>
    </row>
    <row r="5" spans="1:13" ht="15" customHeight="1" x14ac:dyDescent="0.2">
      <c r="B5" s="5" t="s">
        <v>63</v>
      </c>
      <c r="C5" s="171" t="s">
        <v>215</v>
      </c>
      <c r="D5" s="172"/>
      <c r="E5" s="172"/>
      <c r="F5" s="7"/>
    </row>
    <row r="6" spans="1:13" ht="15" customHeight="1" x14ac:dyDescent="0.2">
      <c r="B6" s="5" t="s">
        <v>1</v>
      </c>
      <c r="C6" s="172" t="s">
        <v>216</v>
      </c>
      <c r="D6" s="172"/>
      <c r="E6" s="172"/>
      <c r="F6" s="7"/>
    </row>
    <row r="7" spans="1:13" ht="15" customHeight="1" x14ac:dyDescent="0.2">
      <c r="B7" s="5" t="s">
        <v>2</v>
      </c>
      <c r="C7" s="173" t="s">
        <v>217</v>
      </c>
      <c r="D7" s="174"/>
      <c r="E7" s="174"/>
      <c r="F7" s="7"/>
    </row>
    <row r="8" spans="1:13" ht="15" customHeight="1" thickBot="1" x14ac:dyDescent="0.25">
      <c r="B8" s="5"/>
      <c r="C8" s="56"/>
      <c r="D8" s="7"/>
      <c r="E8" s="7"/>
      <c r="F8" s="7"/>
    </row>
    <row r="9" spans="1:13" s="7" customFormat="1" ht="13.5" thickTop="1" x14ac:dyDescent="0.2">
      <c r="B9" s="166" t="s">
        <v>57</v>
      </c>
      <c r="C9" s="166"/>
      <c r="D9" s="166"/>
      <c r="E9" s="166"/>
      <c r="F9" s="167"/>
      <c r="G9" s="1"/>
      <c r="H9" s="1"/>
      <c r="I9" s="1"/>
      <c r="J9" s="1"/>
    </row>
    <row r="10" spans="1:13" s="7" customFormat="1" x14ac:dyDescent="0.2">
      <c r="B10" s="176"/>
      <c r="C10" s="176"/>
      <c r="D10" s="177" t="s">
        <v>58</v>
      </c>
      <c r="E10" s="177"/>
      <c r="G10" s="1"/>
      <c r="H10" s="1"/>
      <c r="I10" s="1"/>
      <c r="J10" s="1"/>
    </row>
    <row r="11" spans="1:13" ht="52.5" customHeight="1" x14ac:dyDescent="0.2">
      <c r="B11" s="7"/>
      <c r="C11" s="7"/>
      <c r="D11" s="88" t="s">
        <v>60</v>
      </c>
      <c r="E11" s="57" t="s">
        <v>59</v>
      </c>
    </row>
    <row r="12" spans="1:13" ht="15" customHeight="1" x14ac:dyDescent="0.2">
      <c r="D12" s="58">
        <v>494064</v>
      </c>
      <c r="E12" s="59">
        <v>87863</v>
      </c>
    </row>
    <row r="13" spans="1:13" ht="15" customHeight="1" thickBot="1" x14ac:dyDescent="0.25">
      <c r="B13" s="7"/>
      <c r="C13" s="7"/>
      <c r="D13" s="7"/>
      <c r="E13" s="7"/>
      <c r="F13" s="7"/>
      <c r="G13" s="7"/>
      <c r="H13" s="7"/>
    </row>
    <row r="14" spans="1:13" ht="13.5" thickTop="1" x14ac:dyDescent="0.2">
      <c r="B14" s="178" t="s">
        <v>3</v>
      </c>
      <c r="C14" s="178"/>
      <c r="D14" s="178"/>
      <c r="E14" s="178"/>
      <c r="F14" s="178"/>
      <c r="G14" s="178"/>
      <c r="H14" s="178"/>
    </row>
    <row r="15" spans="1:13" ht="15" customHeight="1" x14ac:dyDescent="0.2">
      <c r="A15" s="7"/>
      <c r="B15" s="15"/>
      <c r="D15" s="177" t="s">
        <v>123</v>
      </c>
      <c r="E15" s="177"/>
    </row>
    <row r="16" spans="1:13" ht="30.75" customHeight="1" x14ac:dyDescent="0.2">
      <c r="A16" s="7"/>
      <c r="C16" s="16" t="s">
        <v>42</v>
      </c>
      <c r="D16" s="14" t="s">
        <v>7</v>
      </c>
      <c r="E16" s="14" t="s">
        <v>8</v>
      </c>
    </row>
    <row r="17" spans="1:8" ht="15" customHeight="1" x14ac:dyDescent="0.2">
      <c r="A17" s="7"/>
      <c r="B17" s="11"/>
      <c r="C17" s="155" t="s">
        <v>9</v>
      </c>
      <c r="D17" s="154">
        <v>16775.38</v>
      </c>
      <c r="E17" s="156">
        <v>2873923.85</v>
      </c>
    </row>
    <row r="18" spans="1:8" ht="15" customHeight="1" x14ac:dyDescent="0.2">
      <c r="A18" s="7"/>
      <c r="B18" s="11"/>
      <c r="C18" s="155" t="s">
        <v>10</v>
      </c>
      <c r="D18" s="154">
        <v>8372</v>
      </c>
      <c r="E18" s="156">
        <v>1309917.51</v>
      </c>
    </row>
    <row r="19" spans="1:8" ht="15" customHeight="1" x14ac:dyDescent="0.2">
      <c r="A19" s="7"/>
      <c r="B19" s="11"/>
      <c r="C19" s="155" t="s">
        <v>11</v>
      </c>
      <c r="D19" s="154">
        <v>23436</v>
      </c>
      <c r="E19" s="156">
        <v>2418034.91</v>
      </c>
    </row>
    <row r="20" spans="1:8" ht="15" customHeight="1" x14ac:dyDescent="0.2">
      <c r="A20" s="7"/>
      <c r="B20" s="11"/>
      <c r="C20" s="155" t="s">
        <v>12</v>
      </c>
      <c r="D20" s="154">
        <v>0</v>
      </c>
      <c r="E20" s="156">
        <v>0</v>
      </c>
    </row>
    <row r="21" spans="1:8" ht="15" customHeight="1" x14ac:dyDescent="0.2">
      <c r="A21" s="7"/>
      <c r="B21" s="11"/>
      <c r="C21" s="155" t="s">
        <v>37</v>
      </c>
      <c r="D21" s="154">
        <v>0</v>
      </c>
      <c r="E21" s="156">
        <v>0</v>
      </c>
    </row>
    <row r="22" spans="1:8" ht="15" customHeight="1" x14ac:dyDescent="0.2">
      <c r="A22" s="7"/>
      <c r="B22" s="11"/>
      <c r="C22" s="157" t="s">
        <v>38</v>
      </c>
      <c r="D22" s="154">
        <v>0</v>
      </c>
      <c r="E22" s="156">
        <v>0</v>
      </c>
    </row>
    <row r="23" spans="1:8" ht="15" customHeight="1" x14ac:dyDescent="0.2">
      <c r="A23" s="7"/>
      <c r="B23" s="11"/>
      <c r="C23" s="157" t="s">
        <v>5</v>
      </c>
      <c r="D23" s="116">
        <v>18133</v>
      </c>
      <c r="E23" s="156">
        <v>561280</v>
      </c>
    </row>
    <row r="24" spans="1:8" ht="15" customHeight="1" x14ac:dyDescent="0.2">
      <c r="A24" s="7"/>
      <c r="B24" s="11"/>
      <c r="C24" s="158"/>
      <c r="D24" s="159"/>
      <c r="E24" s="160"/>
    </row>
    <row r="25" spans="1:8" ht="15" customHeight="1" x14ac:dyDescent="0.2">
      <c r="A25" s="7"/>
      <c r="B25" s="11"/>
      <c r="C25" s="158"/>
      <c r="D25" s="159"/>
      <c r="E25" s="160"/>
    </row>
    <row r="26" spans="1:8" ht="30.75" customHeight="1" x14ac:dyDescent="0.2">
      <c r="A26" s="7"/>
      <c r="B26" s="179" t="s">
        <v>218</v>
      </c>
      <c r="C26" s="180"/>
      <c r="D26" s="161"/>
      <c r="E26" s="162"/>
    </row>
    <row r="27" spans="1:8" ht="15" customHeight="1" x14ac:dyDescent="0.2">
      <c r="A27" s="7"/>
      <c r="C27" s="163"/>
      <c r="D27" s="164"/>
      <c r="E27" s="164"/>
    </row>
    <row r="28" spans="1:8" ht="15" customHeight="1" x14ac:dyDescent="0.2">
      <c r="A28" s="7"/>
      <c r="C28" s="163"/>
      <c r="D28" s="164"/>
      <c r="E28" s="164"/>
    </row>
    <row r="29" spans="1:8" ht="15" customHeight="1" x14ac:dyDescent="0.2">
      <c r="C29" s="30" t="s">
        <v>6</v>
      </c>
      <c r="D29" s="114">
        <f>SUM(D17:D25)</f>
        <v>66716.38</v>
      </c>
      <c r="E29" s="165">
        <f>SUM(E17:E28)</f>
        <v>7163156.2700000005</v>
      </c>
    </row>
    <row r="30" spans="1:8" ht="15" customHeight="1" x14ac:dyDescent="0.2">
      <c r="B30" s="17"/>
      <c r="C30" s="18"/>
      <c r="D30" s="19"/>
      <c r="E30" s="18"/>
      <c r="F30" s="19"/>
    </row>
    <row r="31" spans="1:8" s="7" customFormat="1" ht="15" customHeight="1" x14ac:dyDescent="0.2">
      <c r="B31" s="3" t="s">
        <v>4</v>
      </c>
      <c r="C31" s="175" t="str">
        <f>CON_Utility_Name</f>
        <v>CLARK PUBLIC UTILITIES</v>
      </c>
      <c r="D31" s="175"/>
      <c r="E31" s="175"/>
      <c r="F31" s="175"/>
      <c r="G31" s="1"/>
      <c r="H31" s="1"/>
    </row>
    <row r="32" spans="1:8" s="7" customFormat="1" ht="21" customHeight="1" x14ac:dyDescent="0.2">
      <c r="B32" s="3"/>
      <c r="C32" s="6"/>
      <c r="D32" s="6"/>
      <c r="E32" s="6"/>
      <c r="F32" s="6"/>
    </row>
    <row r="33" spans="2:2" x14ac:dyDescent="0.2">
      <c r="B33" s="11" t="s">
        <v>36</v>
      </c>
    </row>
  </sheetData>
  <mergeCells count="13">
    <mergeCell ref="C31:F31"/>
    <mergeCell ref="B10:C10"/>
    <mergeCell ref="D10:E10"/>
    <mergeCell ref="B14:F14"/>
    <mergeCell ref="G14:H14"/>
    <mergeCell ref="D15:E15"/>
    <mergeCell ref="B26:C26"/>
    <mergeCell ref="B9:F9"/>
    <mergeCell ref="C3:E3"/>
    <mergeCell ref="C4:E4"/>
    <mergeCell ref="C5:E5"/>
    <mergeCell ref="C6:E6"/>
    <mergeCell ref="C7:E7"/>
  </mergeCells>
  <hyperlinks>
    <hyperlink ref="C7" r:id="rId1"/>
  </hyperlinks>
  <pageMargins left="0.7" right="0.7" top="0.75" bottom="0.75" header="0.3" footer="0.3"/>
  <pageSetup scale="71" orientation="portrait" r:id="rId2"/>
  <rowBreaks count="1" manualBreakCount="1">
    <brk id="29"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view="pageBreakPreview" zoomScaleNormal="100" zoomScaleSheetLayoutView="100" workbookViewId="0">
      <selection activeCell="G6" sqref="G6"/>
    </sheetView>
  </sheetViews>
  <sheetFormatPr defaultColWidth="9.140625" defaultRowHeight="12.75" x14ac:dyDescent="0.2"/>
  <cols>
    <col min="1" max="1" width="2.7109375" style="1" customWidth="1"/>
    <col min="2" max="2" width="30.140625" style="1" customWidth="1"/>
    <col min="3" max="4" width="10.28515625" style="1" customWidth="1"/>
    <col min="5" max="13" width="10.7109375" style="1" customWidth="1"/>
    <col min="14" max="14" width="12.7109375" style="1" customWidth="1"/>
    <col min="15" max="15" width="10.7109375" style="1" customWidth="1"/>
    <col min="16" max="16" width="10.5703125" style="1" customWidth="1"/>
    <col min="17" max="17" width="10.7109375" style="1" customWidth="1"/>
    <col min="18" max="16384" width="9.140625" style="1"/>
  </cols>
  <sheetData>
    <row r="1" spans="2:34" s="7" customFormat="1" ht="19.5" x14ac:dyDescent="0.4">
      <c r="B1" s="46" t="s">
        <v>155</v>
      </c>
      <c r="C1" s="46"/>
      <c r="D1" s="46"/>
      <c r="AC1" s="41" t="s">
        <v>48</v>
      </c>
      <c r="AH1" s="38"/>
    </row>
    <row r="2" spans="2:34" ht="14.25" x14ac:dyDescent="0.2">
      <c r="B2" s="24"/>
      <c r="C2" s="24"/>
      <c r="D2" s="24"/>
      <c r="I2" s="192" t="s">
        <v>46</v>
      </c>
      <c r="J2" s="193"/>
      <c r="K2" s="193"/>
      <c r="L2" s="193"/>
      <c r="M2" s="193"/>
      <c r="N2" s="194"/>
      <c r="AC2" s="42" t="s">
        <v>49</v>
      </c>
      <c r="AH2" s="36"/>
    </row>
    <row r="3" spans="2:34" ht="15" customHeight="1" x14ac:dyDescent="0.2">
      <c r="B3" s="3" t="s">
        <v>4</v>
      </c>
      <c r="C3" s="198" t="s">
        <v>196</v>
      </c>
      <c r="D3" s="198"/>
      <c r="E3" s="198"/>
      <c r="I3" s="51"/>
      <c r="J3" s="7"/>
      <c r="K3" s="7"/>
      <c r="L3" s="7"/>
      <c r="M3" s="50" t="s">
        <v>53</v>
      </c>
      <c r="N3" s="144">
        <v>4441161</v>
      </c>
      <c r="AC3" s="42" t="s">
        <v>50</v>
      </c>
      <c r="AH3" s="36"/>
    </row>
    <row r="4" spans="2:34" ht="15" customHeight="1" thickBot="1" x14ac:dyDescent="0.25">
      <c r="B4" s="4" t="s">
        <v>64</v>
      </c>
      <c r="C4" s="199">
        <v>42150</v>
      </c>
      <c r="D4" s="199"/>
      <c r="E4" s="199"/>
      <c r="I4" s="51"/>
      <c r="J4" s="7"/>
      <c r="K4" s="7"/>
      <c r="L4" s="7"/>
      <c r="M4" s="50" t="s">
        <v>152</v>
      </c>
      <c r="N4" s="144">
        <v>4380723</v>
      </c>
      <c r="AC4" s="42" t="s">
        <v>51</v>
      </c>
      <c r="AH4" s="37"/>
    </row>
    <row r="5" spans="2:34" ht="15" customHeight="1" x14ac:dyDescent="0.2">
      <c r="B5" s="5" t="s">
        <v>0</v>
      </c>
      <c r="C5" s="200" t="s">
        <v>197</v>
      </c>
      <c r="D5" s="200"/>
      <c r="E5" s="200"/>
      <c r="I5" s="51"/>
      <c r="J5" s="7"/>
      <c r="K5" s="7"/>
      <c r="L5" s="7"/>
      <c r="M5" s="50" t="s">
        <v>153</v>
      </c>
      <c r="N5" s="111">
        <f>IF(REN_Load_2013+REN_Load_2014&gt;0,AVERAGE(REN_Load_2013,REN_Load_2014),0)</f>
        <v>4410942</v>
      </c>
    </row>
    <row r="6" spans="2:34" ht="15" customHeight="1" x14ac:dyDescent="0.2">
      <c r="B6" s="5" t="s">
        <v>1</v>
      </c>
      <c r="C6" s="200" t="s">
        <v>198</v>
      </c>
      <c r="D6" s="200"/>
      <c r="E6" s="200"/>
      <c r="I6" s="51"/>
      <c r="J6" s="7"/>
      <c r="K6" s="7"/>
      <c r="L6" s="7"/>
      <c r="M6" s="50" t="s">
        <v>154</v>
      </c>
      <c r="N6" s="112">
        <v>0.03</v>
      </c>
    </row>
    <row r="7" spans="2:34" ht="15" customHeight="1" x14ac:dyDescent="0.25">
      <c r="B7" s="5" t="s">
        <v>2</v>
      </c>
      <c r="C7" s="201" t="s">
        <v>199</v>
      </c>
      <c r="D7" s="202"/>
      <c r="E7" s="202"/>
      <c r="I7" s="61"/>
      <c r="J7" s="7"/>
      <c r="K7" s="7"/>
      <c r="L7" s="7"/>
      <c r="M7" s="50" t="s">
        <v>168</v>
      </c>
      <c r="N7" s="111">
        <f>N5*N6</f>
        <v>132328.26</v>
      </c>
    </row>
    <row r="8" spans="2:34" ht="15" customHeight="1" x14ac:dyDescent="0.2">
      <c r="B8" s="5"/>
      <c r="C8" s="5"/>
      <c r="D8" s="5"/>
      <c r="E8" s="35"/>
      <c r="I8" s="52"/>
      <c r="J8" s="53"/>
      <c r="K8" s="53"/>
      <c r="L8" s="53"/>
      <c r="M8" s="54" t="s">
        <v>52</v>
      </c>
      <c r="N8" s="113">
        <f>SUM(C20:M20)</f>
        <v>159893</v>
      </c>
    </row>
    <row r="9" spans="2:34" ht="15" customHeight="1" x14ac:dyDescent="0.2">
      <c r="B9" s="3" t="s">
        <v>192</v>
      </c>
      <c r="C9" s="47"/>
      <c r="D9" s="47"/>
    </row>
    <row r="10" spans="2:34" ht="15" customHeight="1" x14ac:dyDescent="0.2">
      <c r="C10" s="24"/>
      <c r="D10" s="24"/>
      <c r="G10" s="195" t="s">
        <v>191</v>
      </c>
      <c r="H10" s="196"/>
      <c r="I10" s="196"/>
      <c r="J10" s="196"/>
      <c r="K10" s="196"/>
      <c r="L10" s="196"/>
      <c r="M10" s="196"/>
      <c r="N10" s="197"/>
    </row>
    <row r="11" spans="2:34" s="39" customFormat="1" ht="14.25" customHeight="1" x14ac:dyDescent="0.25">
      <c r="B11" s="1" t="s">
        <v>213</v>
      </c>
      <c r="C11" s="40"/>
      <c r="D11" s="40"/>
      <c r="G11" s="51" t="s">
        <v>100</v>
      </c>
      <c r="H11" s="64"/>
      <c r="I11" s="64"/>
      <c r="J11" s="64"/>
      <c r="K11" s="64"/>
      <c r="L11" s="64"/>
      <c r="M11" s="7"/>
      <c r="N11" s="109">
        <v>12573232</v>
      </c>
    </row>
    <row r="12" spans="2:34" x14ac:dyDescent="0.2">
      <c r="C12" s="24"/>
      <c r="D12" s="24"/>
      <c r="G12" s="51" t="s">
        <v>169</v>
      </c>
      <c r="H12" s="62"/>
      <c r="I12" s="62"/>
      <c r="J12" s="62"/>
      <c r="K12" s="62"/>
      <c r="L12" s="7"/>
      <c r="M12" s="7"/>
      <c r="N12" s="118">
        <v>344925645</v>
      </c>
    </row>
    <row r="13" spans="2:34" x14ac:dyDescent="0.2">
      <c r="G13" s="65" t="s">
        <v>101</v>
      </c>
      <c r="H13" s="63"/>
      <c r="I13" s="63"/>
      <c r="J13" s="63"/>
      <c r="K13" s="63"/>
      <c r="L13" s="53"/>
      <c r="M13" s="53"/>
      <c r="N13" s="110">
        <f>IF(REN_RetailRevenueRequirement_2015&gt;0,REN_Expenditure_Amount_2015/REN_RetailRevenueRequirement_2015,"")</f>
        <v>3.6452006924564857E-2</v>
      </c>
    </row>
    <row r="14" spans="2:34" ht="17.45" customHeight="1" x14ac:dyDescent="0.2">
      <c r="I14" s="181"/>
      <c r="J14" s="181"/>
      <c r="K14" s="181"/>
      <c r="L14" s="181"/>
      <c r="M14" s="181"/>
      <c r="N14" s="32"/>
      <c r="O14" s="20"/>
      <c r="P14" s="20"/>
    </row>
    <row r="15" spans="2:34" ht="16.899999999999999" customHeight="1" x14ac:dyDescent="0.2">
      <c r="B15" s="5"/>
      <c r="C15" s="29" t="s">
        <v>14</v>
      </c>
      <c r="D15" s="27" t="s">
        <v>15</v>
      </c>
      <c r="E15" s="27" t="s">
        <v>16</v>
      </c>
      <c r="F15" s="27" t="s">
        <v>17</v>
      </c>
      <c r="G15" s="27" t="s">
        <v>18</v>
      </c>
      <c r="H15" s="27" t="s">
        <v>19</v>
      </c>
      <c r="I15" s="27" t="s">
        <v>20</v>
      </c>
      <c r="J15" s="27" t="s">
        <v>21</v>
      </c>
      <c r="K15" s="28" t="s">
        <v>22</v>
      </c>
      <c r="L15" s="28" t="s">
        <v>65</v>
      </c>
      <c r="M15" s="28" t="s">
        <v>66</v>
      </c>
      <c r="N15" s="32"/>
      <c r="O15" s="20"/>
      <c r="P15" s="20"/>
    </row>
    <row r="16" spans="2:34" ht="21.75" customHeight="1" x14ac:dyDescent="0.2">
      <c r="B16" s="10"/>
      <c r="C16" s="23" t="s">
        <v>23</v>
      </c>
      <c r="D16" s="23" t="s">
        <v>24</v>
      </c>
      <c r="E16" s="23" t="s">
        <v>25</v>
      </c>
      <c r="F16" s="23" t="s">
        <v>26</v>
      </c>
      <c r="G16" s="23" t="s">
        <v>27</v>
      </c>
      <c r="H16" s="23" t="s">
        <v>41</v>
      </c>
      <c r="I16" s="23" t="s">
        <v>28</v>
      </c>
      <c r="J16" s="23" t="s">
        <v>29</v>
      </c>
      <c r="K16" s="23" t="s">
        <v>30</v>
      </c>
      <c r="L16" s="23" t="s">
        <v>34</v>
      </c>
      <c r="M16" s="23" t="s">
        <v>31</v>
      </c>
      <c r="N16" s="32"/>
      <c r="O16" s="20"/>
      <c r="P16" s="20"/>
    </row>
    <row r="17" spans="2:34" ht="18" customHeight="1" x14ac:dyDescent="0.2">
      <c r="B17" s="5"/>
      <c r="C17" s="21" t="s">
        <v>7</v>
      </c>
      <c r="D17" s="21" t="s">
        <v>7</v>
      </c>
      <c r="E17" s="21" t="s">
        <v>7</v>
      </c>
      <c r="F17" s="21" t="s">
        <v>7</v>
      </c>
      <c r="G17" s="21" t="s">
        <v>7</v>
      </c>
      <c r="H17" s="21" t="s">
        <v>7</v>
      </c>
      <c r="I17" s="21" t="s">
        <v>7</v>
      </c>
      <c r="J17" s="21" t="s">
        <v>7</v>
      </c>
      <c r="K17" s="21" t="s">
        <v>7</v>
      </c>
      <c r="L17" s="21" t="s">
        <v>56</v>
      </c>
      <c r="M17" s="21" t="s">
        <v>56</v>
      </c>
      <c r="N17" s="32"/>
      <c r="O17" s="20"/>
      <c r="P17" s="20"/>
    </row>
    <row r="18" spans="2:34" ht="15" customHeight="1" x14ac:dyDescent="0.2">
      <c r="B18" s="4" t="s">
        <v>43</v>
      </c>
      <c r="C18" s="119">
        <f t="shared" ref="C18:L18" si="0">SUM(E44:E64)</f>
        <v>0</v>
      </c>
      <c r="D18" s="119">
        <f t="shared" si="0"/>
        <v>15744</v>
      </c>
      <c r="E18" s="119">
        <f t="shared" si="0"/>
        <v>0</v>
      </c>
      <c r="F18" s="119">
        <f t="shared" si="0"/>
        <v>0</v>
      </c>
      <c r="G18" s="119">
        <f t="shared" si="0"/>
        <v>0</v>
      </c>
      <c r="H18" s="119">
        <f t="shared" si="0"/>
        <v>0</v>
      </c>
      <c r="I18" s="119">
        <f t="shared" si="0"/>
        <v>0</v>
      </c>
      <c r="J18" s="119">
        <f t="shared" si="0"/>
        <v>0</v>
      </c>
      <c r="K18" s="119">
        <f t="shared" si="0"/>
        <v>0</v>
      </c>
      <c r="L18" s="119">
        <f t="shared" si="0"/>
        <v>0</v>
      </c>
      <c r="M18" s="60"/>
      <c r="N18" s="33"/>
      <c r="O18" s="44"/>
      <c r="P18" s="44"/>
    </row>
    <row r="19" spans="2:34" ht="16.5" customHeight="1" x14ac:dyDescent="0.2">
      <c r="B19" s="4" t="s">
        <v>44</v>
      </c>
      <c r="C19" s="60"/>
      <c r="D19" s="120">
        <f t="shared" ref="D19:M19" si="1">SUM(F72:F96)</f>
        <v>144149</v>
      </c>
      <c r="E19" s="120">
        <f t="shared" si="1"/>
        <v>0</v>
      </c>
      <c r="F19" s="120">
        <f t="shared" si="1"/>
        <v>0</v>
      </c>
      <c r="G19" s="120">
        <f t="shared" si="1"/>
        <v>0</v>
      </c>
      <c r="H19" s="120">
        <f t="shared" si="1"/>
        <v>0</v>
      </c>
      <c r="I19" s="120">
        <f t="shared" si="1"/>
        <v>0</v>
      </c>
      <c r="J19" s="120">
        <f t="shared" si="1"/>
        <v>0</v>
      </c>
      <c r="K19" s="120">
        <f t="shared" si="1"/>
        <v>0</v>
      </c>
      <c r="L19" s="120">
        <f t="shared" si="1"/>
        <v>0</v>
      </c>
      <c r="M19" s="120">
        <f t="shared" si="1"/>
        <v>0</v>
      </c>
      <c r="N19" s="34"/>
      <c r="O19" s="20"/>
      <c r="P19" s="20"/>
    </row>
    <row r="20" spans="2:34" ht="16.5" customHeight="1" x14ac:dyDescent="0.2">
      <c r="B20" s="5" t="s">
        <v>45</v>
      </c>
      <c r="C20" s="121">
        <f t="shared" ref="C20:L20" si="2">C18+C19</f>
        <v>0</v>
      </c>
      <c r="D20" s="121">
        <f t="shared" si="2"/>
        <v>159893</v>
      </c>
      <c r="E20" s="121">
        <f t="shared" si="2"/>
        <v>0</v>
      </c>
      <c r="F20" s="121">
        <f t="shared" si="2"/>
        <v>0</v>
      </c>
      <c r="G20" s="121">
        <f t="shared" si="2"/>
        <v>0</v>
      </c>
      <c r="H20" s="121">
        <f t="shared" si="2"/>
        <v>0</v>
      </c>
      <c r="I20" s="121">
        <f t="shared" si="2"/>
        <v>0</v>
      </c>
      <c r="J20" s="121">
        <f t="shared" si="2"/>
        <v>0</v>
      </c>
      <c r="K20" s="121">
        <f t="shared" si="2"/>
        <v>0</v>
      </c>
      <c r="L20" s="121">
        <f t="shared" si="2"/>
        <v>0</v>
      </c>
      <c r="M20" s="120">
        <f>M19</f>
        <v>0</v>
      </c>
      <c r="N20" s="34"/>
      <c r="O20" s="20"/>
      <c r="P20" s="20"/>
    </row>
    <row r="21" spans="2:34" ht="16.5" customHeight="1" x14ac:dyDescent="0.2">
      <c r="L21" s="7"/>
      <c r="M21" s="4"/>
      <c r="N21" s="34"/>
      <c r="O21" s="20"/>
      <c r="P21" s="20"/>
    </row>
    <row r="22" spans="2:34" ht="21.75" customHeight="1" x14ac:dyDescent="0.2">
      <c r="L22" s="7"/>
      <c r="M22" s="4"/>
      <c r="N22" s="34"/>
      <c r="O22" s="20"/>
      <c r="P22" s="20"/>
    </row>
    <row r="23" spans="2:34" ht="15" customHeight="1" x14ac:dyDescent="0.2">
      <c r="B23" s="45"/>
      <c r="C23" s="48"/>
      <c r="D23" s="48"/>
      <c r="E23" s="45"/>
      <c r="F23" s="48"/>
      <c r="G23" s="48"/>
      <c r="I23" s="7"/>
      <c r="J23" s="7"/>
      <c r="K23" s="7"/>
      <c r="L23" s="7"/>
      <c r="M23" s="4"/>
      <c r="N23" s="34"/>
      <c r="O23" s="20"/>
      <c r="P23" s="20"/>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39</v>
      </c>
      <c r="C36" s="6"/>
      <c r="D36" s="6"/>
      <c r="E36" s="10" t="s">
        <v>4</v>
      </c>
      <c r="F36" s="182" t="str">
        <f>C3</f>
        <v>Clark Public Utilities</v>
      </c>
      <c r="G36" s="183"/>
      <c r="H36" s="184"/>
    </row>
    <row r="37" spans="2:34" ht="15" customHeight="1" x14ac:dyDescent="0.2">
      <c r="E37" s="10" t="s">
        <v>13</v>
      </c>
      <c r="F37" s="185">
        <v>2015</v>
      </c>
      <c r="G37" s="186"/>
      <c r="H37" s="187"/>
    </row>
    <row r="38" spans="2:34" ht="15" customHeight="1" x14ac:dyDescent="0.2">
      <c r="E38" s="10"/>
      <c r="F38" s="43"/>
      <c r="G38" s="9"/>
      <c r="H38" s="9"/>
    </row>
    <row r="39" spans="2:34" s="25" customFormat="1" ht="27" customHeight="1" x14ac:dyDescent="0.25">
      <c r="B39" s="188" t="s">
        <v>104</v>
      </c>
      <c r="C39" s="189"/>
      <c r="D39" s="189"/>
      <c r="E39" s="190"/>
      <c r="F39" s="190"/>
      <c r="G39" s="190"/>
      <c r="H39" s="26"/>
      <c r="AH39" s="1"/>
    </row>
    <row r="40" spans="2:34" ht="15" customHeight="1" x14ac:dyDescent="0.2">
      <c r="E40" s="12"/>
      <c r="F40" s="12"/>
      <c r="G40" s="12"/>
      <c r="H40" s="12"/>
      <c r="I40" s="12"/>
      <c r="J40" s="12"/>
      <c r="K40" s="12"/>
      <c r="L40" s="12"/>
      <c r="M40" s="12"/>
      <c r="N40" s="12"/>
      <c r="P40" s="12"/>
      <c r="Q40" s="12"/>
      <c r="R40" s="12"/>
      <c r="S40" s="12"/>
      <c r="AH40" s="25"/>
    </row>
    <row r="41" spans="2:34" s="7" customFormat="1" ht="12.75" customHeight="1" x14ac:dyDescent="0.2">
      <c r="E41" s="29" t="s">
        <v>14</v>
      </c>
      <c r="F41" s="27" t="s">
        <v>15</v>
      </c>
      <c r="G41" s="27" t="s">
        <v>16</v>
      </c>
      <c r="H41" s="27" t="s">
        <v>17</v>
      </c>
      <c r="I41" s="27" t="s">
        <v>18</v>
      </c>
      <c r="J41" s="27" t="s">
        <v>19</v>
      </c>
      <c r="K41" s="27" t="s">
        <v>20</v>
      </c>
      <c r="L41" s="27" t="s">
        <v>21</v>
      </c>
      <c r="M41" s="28" t="s">
        <v>22</v>
      </c>
      <c r="N41" s="28" t="s">
        <v>65</v>
      </c>
      <c r="O41" s="1"/>
      <c r="AH41" s="1"/>
    </row>
    <row r="42" spans="2:34" s="11" customFormat="1" ht="43.5" customHeight="1" x14ac:dyDescent="0.2">
      <c r="E42" s="23" t="s">
        <v>33</v>
      </c>
      <c r="F42" s="23" t="s">
        <v>24</v>
      </c>
      <c r="G42" s="23" t="s">
        <v>25</v>
      </c>
      <c r="H42" s="23" t="s">
        <v>26</v>
      </c>
      <c r="I42" s="23" t="s">
        <v>27</v>
      </c>
      <c r="J42" s="23" t="s">
        <v>40</v>
      </c>
      <c r="K42" s="23" t="s">
        <v>28</v>
      </c>
      <c r="L42" s="23" t="s">
        <v>29</v>
      </c>
      <c r="M42" s="23" t="s">
        <v>30</v>
      </c>
      <c r="N42" s="23" t="s">
        <v>34</v>
      </c>
      <c r="O42" s="1"/>
      <c r="AH42" s="7"/>
    </row>
    <row r="43" spans="2:34" ht="15" customHeight="1" x14ac:dyDescent="0.2">
      <c r="B43" s="49" t="s">
        <v>35</v>
      </c>
      <c r="C43" s="191" t="s">
        <v>54</v>
      </c>
      <c r="D43" s="191"/>
      <c r="E43" s="21" t="s">
        <v>7</v>
      </c>
      <c r="F43" s="21" t="s">
        <v>7</v>
      </c>
      <c r="G43" s="21" t="s">
        <v>7</v>
      </c>
      <c r="H43" s="21" t="s">
        <v>7</v>
      </c>
      <c r="I43" s="21" t="s">
        <v>7</v>
      </c>
      <c r="J43" s="21" t="s">
        <v>7</v>
      </c>
      <c r="K43" s="21" t="s">
        <v>7</v>
      </c>
      <c r="L43" s="21" t="s">
        <v>7</v>
      </c>
      <c r="M43" s="21" t="s">
        <v>7</v>
      </c>
      <c r="N43" s="21" t="s">
        <v>56</v>
      </c>
      <c r="AH43" s="11"/>
    </row>
    <row r="44" spans="2:34" ht="15" customHeight="1" x14ac:dyDescent="0.2">
      <c r="B44" s="152" t="s">
        <v>200</v>
      </c>
      <c r="C44" s="123"/>
      <c r="D44" s="122"/>
      <c r="E44" s="123"/>
      <c r="F44" s="119"/>
      <c r="G44" s="119"/>
      <c r="H44" s="119"/>
      <c r="I44" s="119"/>
      <c r="J44" s="119"/>
      <c r="K44" s="119"/>
      <c r="L44" s="119"/>
      <c r="M44" s="119"/>
      <c r="N44" s="119"/>
    </row>
    <row r="45" spans="2:34" ht="15" customHeight="1" x14ac:dyDescent="0.2">
      <c r="B45" s="145" t="s">
        <v>201</v>
      </c>
      <c r="C45" s="147" t="s">
        <v>202</v>
      </c>
      <c r="D45" s="148"/>
      <c r="E45" s="123"/>
      <c r="F45" s="123">
        <v>1596</v>
      </c>
      <c r="G45" s="124"/>
      <c r="H45" s="124"/>
      <c r="I45" s="124"/>
      <c r="J45" s="124"/>
      <c r="K45" s="124"/>
      <c r="L45" s="124"/>
      <c r="M45" s="124"/>
      <c r="N45" s="124"/>
    </row>
    <row r="46" spans="2:34" ht="15" customHeight="1" x14ac:dyDescent="0.2">
      <c r="B46" s="145" t="s">
        <v>203</v>
      </c>
      <c r="C46" s="147" t="s">
        <v>204</v>
      </c>
      <c r="D46" s="148"/>
      <c r="E46" s="123"/>
      <c r="F46" s="123">
        <v>1764</v>
      </c>
      <c r="G46" s="124"/>
      <c r="H46" s="124"/>
      <c r="I46" s="124"/>
      <c r="J46" s="124"/>
      <c r="K46" s="124"/>
      <c r="L46" s="124"/>
      <c r="M46" s="124"/>
      <c r="N46" s="124"/>
    </row>
    <row r="47" spans="2:34" ht="15" customHeight="1" x14ac:dyDescent="0.2">
      <c r="B47" s="145" t="s">
        <v>205</v>
      </c>
      <c r="C47" s="147" t="s">
        <v>206</v>
      </c>
      <c r="D47" s="149"/>
      <c r="E47" s="123"/>
      <c r="F47" s="123">
        <v>1651</v>
      </c>
      <c r="G47" s="124"/>
      <c r="H47" s="124"/>
      <c r="I47" s="124"/>
      <c r="J47" s="124"/>
      <c r="K47" s="124"/>
      <c r="L47" s="124"/>
      <c r="M47" s="124"/>
      <c r="N47" s="124"/>
    </row>
    <row r="48" spans="2:34" ht="15" customHeight="1" x14ac:dyDescent="0.2">
      <c r="B48" s="145" t="s">
        <v>207</v>
      </c>
      <c r="C48" s="147" t="s">
        <v>208</v>
      </c>
      <c r="D48" s="150"/>
      <c r="E48" s="123"/>
      <c r="F48" s="123">
        <v>4245</v>
      </c>
      <c r="G48" s="124"/>
      <c r="H48" s="124"/>
      <c r="I48" s="124"/>
      <c r="J48" s="124"/>
      <c r="K48" s="124"/>
      <c r="L48" s="124"/>
      <c r="M48" s="124"/>
      <c r="N48" s="124"/>
    </row>
    <row r="49" spans="2:14" ht="15" customHeight="1" x14ac:dyDescent="0.2">
      <c r="B49" s="145" t="s">
        <v>209</v>
      </c>
      <c r="C49" s="147" t="s">
        <v>210</v>
      </c>
      <c r="D49" s="151"/>
      <c r="E49" s="123"/>
      <c r="F49" s="123">
        <v>6488</v>
      </c>
      <c r="G49" s="124"/>
      <c r="H49" s="124"/>
      <c r="I49" s="124"/>
      <c r="J49" s="124"/>
      <c r="K49" s="124"/>
      <c r="L49" s="124"/>
      <c r="M49" s="124"/>
      <c r="N49" s="124"/>
    </row>
    <row r="50" spans="2:14" ht="15" customHeight="1" x14ac:dyDescent="0.2">
      <c r="B50" s="146"/>
      <c r="C50" s="125"/>
      <c r="D50" s="125"/>
      <c r="E50" s="123"/>
      <c r="F50" s="124"/>
      <c r="G50" s="124"/>
      <c r="H50" s="124"/>
      <c r="I50" s="124"/>
      <c r="J50" s="124"/>
      <c r="K50" s="124"/>
      <c r="L50" s="124"/>
      <c r="M50" s="124"/>
      <c r="N50" s="124"/>
    </row>
    <row r="51" spans="2:14" ht="15" customHeight="1" x14ac:dyDescent="0.2">
      <c r="B51" s="117"/>
      <c r="C51" s="125"/>
      <c r="D51" s="125"/>
      <c r="E51" s="123"/>
      <c r="F51" s="124"/>
      <c r="G51" s="124"/>
      <c r="H51" s="124"/>
      <c r="I51" s="124"/>
      <c r="J51" s="124"/>
      <c r="K51" s="124"/>
      <c r="L51" s="124"/>
      <c r="M51" s="124"/>
      <c r="N51" s="124"/>
    </row>
    <row r="52" spans="2:14" ht="15" customHeight="1" x14ac:dyDescent="0.2">
      <c r="B52" s="117"/>
      <c r="C52" s="125"/>
      <c r="D52" s="125"/>
      <c r="E52" s="123"/>
      <c r="F52" s="124"/>
      <c r="G52" s="124"/>
      <c r="H52" s="124"/>
      <c r="I52" s="124"/>
      <c r="J52" s="124"/>
      <c r="K52" s="124"/>
      <c r="L52" s="124"/>
      <c r="M52" s="124"/>
      <c r="N52" s="124"/>
    </row>
    <row r="53" spans="2:14" ht="15" customHeight="1" x14ac:dyDescent="0.2">
      <c r="B53" s="117"/>
      <c r="C53" s="125"/>
      <c r="D53" s="125"/>
      <c r="E53" s="123"/>
      <c r="F53" s="124"/>
      <c r="G53" s="124"/>
      <c r="H53" s="124"/>
      <c r="I53" s="124"/>
      <c r="J53" s="124"/>
      <c r="K53" s="124"/>
      <c r="L53" s="124"/>
      <c r="M53" s="124"/>
      <c r="N53" s="124"/>
    </row>
    <row r="54" spans="2:14" ht="15" customHeight="1" x14ac:dyDescent="0.2">
      <c r="B54" s="117"/>
      <c r="C54" s="125"/>
      <c r="D54" s="125"/>
      <c r="E54" s="123"/>
      <c r="F54" s="124"/>
      <c r="G54" s="124"/>
      <c r="H54" s="124"/>
      <c r="I54" s="124"/>
      <c r="J54" s="124"/>
      <c r="K54" s="124"/>
      <c r="L54" s="124"/>
      <c r="M54" s="124"/>
      <c r="N54" s="124"/>
    </row>
    <row r="55" spans="2:14" ht="15" customHeight="1" x14ac:dyDescent="0.2">
      <c r="B55" s="117"/>
      <c r="C55" s="125"/>
      <c r="D55" s="125"/>
      <c r="E55" s="123"/>
      <c r="F55" s="124"/>
      <c r="G55" s="124"/>
      <c r="H55" s="124"/>
      <c r="I55" s="124"/>
      <c r="J55" s="124"/>
      <c r="K55" s="124"/>
      <c r="L55" s="124"/>
      <c r="M55" s="124"/>
      <c r="N55" s="124"/>
    </row>
    <row r="56" spans="2:14" ht="15" customHeight="1" x14ac:dyDescent="0.2">
      <c r="B56" s="117"/>
      <c r="C56" s="125"/>
      <c r="D56" s="125"/>
      <c r="E56" s="123"/>
      <c r="F56" s="124"/>
      <c r="G56" s="124"/>
      <c r="H56" s="124"/>
      <c r="I56" s="124"/>
      <c r="J56" s="124"/>
      <c r="K56" s="124"/>
      <c r="L56" s="124"/>
      <c r="M56" s="124"/>
      <c r="N56" s="124"/>
    </row>
    <row r="57" spans="2:14" ht="15" customHeight="1" x14ac:dyDescent="0.2">
      <c r="B57" s="117"/>
      <c r="C57" s="125"/>
      <c r="D57" s="125"/>
      <c r="E57" s="123"/>
      <c r="F57" s="124"/>
      <c r="G57" s="124"/>
      <c r="H57" s="124"/>
      <c r="I57" s="124"/>
      <c r="J57" s="124"/>
      <c r="K57" s="124"/>
      <c r="L57" s="124"/>
      <c r="M57" s="124"/>
      <c r="N57" s="124"/>
    </row>
    <row r="58" spans="2:14" ht="15" customHeight="1" x14ac:dyDescent="0.2">
      <c r="B58" s="117"/>
      <c r="C58" s="125"/>
      <c r="D58" s="125"/>
      <c r="E58" s="123"/>
      <c r="F58" s="124"/>
      <c r="G58" s="124"/>
      <c r="H58" s="124"/>
      <c r="I58" s="124"/>
      <c r="J58" s="124"/>
      <c r="K58" s="124"/>
      <c r="L58" s="124"/>
      <c r="M58" s="124"/>
      <c r="N58" s="124"/>
    </row>
    <row r="59" spans="2:14" ht="15" customHeight="1" x14ac:dyDescent="0.2">
      <c r="B59" s="117"/>
      <c r="C59" s="125"/>
      <c r="D59" s="125"/>
      <c r="E59" s="123"/>
      <c r="F59" s="124"/>
      <c r="G59" s="124"/>
      <c r="H59" s="124"/>
      <c r="I59" s="124"/>
      <c r="J59" s="124"/>
      <c r="K59" s="124"/>
      <c r="L59" s="124"/>
      <c r="M59" s="124"/>
      <c r="N59" s="124"/>
    </row>
    <row r="60" spans="2:14" ht="15" customHeight="1" x14ac:dyDescent="0.2">
      <c r="B60" s="117"/>
      <c r="C60" s="125"/>
      <c r="D60" s="125"/>
      <c r="E60" s="123"/>
      <c r="F60" s="124"/>
      <c r="G60" s="124"/>
      <c r="H60" s="124"/>
      <c r="I60" s="124"/>
      <c r="J60" s="124"/>
      <c r="K60" s="124"/>
      <c r="L60" s="124"/>
      <c r="M60" s="124"/>
      <c r="N60" s="124"/>
    </row>
    <row r="61" spans="2:14" ht="15" customHeight="1" x14ac:dyDescent="0.2">
      <c r="B61" s="117"/>
      <c r="C61" s="125"/>
      <c r="D61" s="125"/>
      <c r="E61" s="123"/>
      <c r="F61" s="124"/>
      <c r="G61" s="124"/>
      <c r="H61" s="124"/>
      <c r="I61" s="124"/>
      <c r="J61" s="124"/>
      <c r="K61" s="124"/>
      <c r="L61" s="124"/>
      <c r="M61" s="124"/>
      <c r="N61" s="124"/>
    </row>
    <row r="62" spans="2:14" ht="15" customHeight="1" x14ac:dyDescent="0.2">
      <c r="B62" s="117"/>
      <c r="C62" s="125"/>
      <c r="D62" s="125"/>
      <c r="E62" s="123"/>
      <c r="F62" s="124"/>
      <c r="G62" s="124"/>
      <c r="H62" s="124"/>
      <c r="I62" s="124"/>
      <c r="J62" s="124"/>
      <c r="K62" s="124"/>
      <c r="L62" s="124"/>
      <c r="M62" s="124"/>
      <c r="N62" s="124"/>
    </row>
    <row r="63" spans="2:14" ht="15" customHeight="1" x14ac:dyDescent="0.2">
      <c r="B63" s="117"/>
      <c r="C63" s="125"/>
      <c r="D63" s="125"/>
      <c r="E63" s="123"/>
      <c r="F63" s="124"/>
      <c r="G63" s="124"/>
      <c r="H63" s="124"/>
      <c r="I63" s="124"/>
      <c r="J63" s="124"/>
      <c r="K63" s="124"/>
      <c r="L63" s="124"/>
      <c r="M63" s="124"/>
      <c r="N63" s="124"/>
    </row>
    <row r="64" spans="2:14" ht="15" customHeight="1" x14ac:dyDescent="0.2">
      <c r="B64" s="126"/>
      <c r="C64" s="127"/>
      <c r="D64" s="127"/>
      <c r="E64" s="128"/>
      <c r="F64" s="120"/>
      <c r="G64" s="120"/>
      <c r="H64" s="120"/>
      <c r="I64" s="120"/>
      <c r="J64" s="120"/>
      <c r="K64" s="120"/>
      <c r="L64" s="120"/>
      <c r="M64" s="120"/>
      <c r="N64" s="120"/>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182" t="str">
        <f>C3</f>
        <v>Clark Public Utilities</v>
      </c>
      <c r="G66" s="183"/>
      <c r="H66" s="184"/>
    </row>
    <row r="67" spans="1:34" ht="15" customHeight="1" x14ac:dyDescent="0.2">
      <c r="E67" s="10" t="s">
        <v>13</v>
      </c>
      <c r="F67" s="185">
        <v>2015</v>
      </c>
      <c r="G67" s="186"/>
      <c r="H67" s="187"/>
    </row>
    <row r="68" spans="1:34" ht="15" customHeight="1" x14ac:dyDescent="0.2">
      <c r="B68" s="10"/>
      <c r="C68" s="10"/>
      <c r="D68" s="10"/>
      <c r="E68" s="8"/>
      <c r="H68" s="22"/>
      <c r="I68" s="7"/>
    </row>
    <row r="69" spans="1:34" s="7" customFormat="1" ht="16.5" customHeight="1" x14ac:dyDescent="0.2">
      <c r="B69" s="6"/>
      <c r="C69" s="6"/>
      <c r="D69" s="6"/>
      <c r="E69" s="29" t="s">
        <v>14</v>
      </c>
      <c r="F69" s="27" t="s">
        <v>15</v>
      </c>
      <c r="G69" s="27" t="s">
        <v>16</v>
      </c>
      <c r="H69" s="27" t="s">
        <v>17</v>
      </c>
      <c r="I69" s="27" t="s">
        <v>18</v>
      </c>
      <c r="J69" s="27" t="s">
        <v>19</v>
      </c>
      <c r="K69" s="27" t="s">
        <v>20</v>
      </c>
      <c r="L69" s="27" t="s">
        <v>21</v>
      </c>
      <c r="M69" s="28" t="s">
        <v>22</v>
      </c>
      <c r="N69" s="28" t="s">
        <v>65</v>
      </c>
      <c r="O69" s="28" t="s">
        <v>66</v>
      </c>
      <c r="AH69" s="1"/>
    </row>
    <row r="70" spans="1:34" s="11" customFormat="1" ht="36" x14ac:dyDescent="0.2">
      <c r="B70" s="10"/>
      <c r="C70" s="10"/>
      <c r="D70" s="10"/>
      <c r="E70" s="23" t="s">
        <v>33</v>
      </c>
      <c r="F70" s="23" t="s">
        <v>24</v>
      </c>
      <c r="G70" s="23" t="s">
        <v>25</v>
      </c>
      <c r="H70" s="23" t="s">
        <v>26</v>
      </c>
      <c r="I70" s="23" t="s">
        <v>27</v>
      </c>
      <c r="J70" s="23" t="s">
        <v>41</v>
      </c>
      <c r="K70" s="23" t="s">
        <v>28</v>
      </c>
      <c r="L70" s="23" t="s">
        <v>29</v>
      </c>
      <c r="M70" s="23" t="s">
        <v>30</v>
      </c>
      <c r="N70" s="23" t="s">
        <v>34</v>
      </c>
      <c r="O70" s="23" t="s">
        <v>31</v>
      </c>
      <c r="AH70" s="7"/>
    </row>
    <row r="71" spans="1:34" ht="15" customHeight="1" x14ac:dyDescent="0.2">
      <c r="B71" s="49" t="s">
        <v>35</v>
      </c>
      <c r="C71" s="31" t="s">
        <v>54</v>
      </c>
      <c r="D71" s="31" t="s">
        <v>55</v>
      </c>
      <c r="E71" s="21" t="s">
        <v>7</v>
      </c>
      <c r="F71" s="21" t="s">
        <v>7</v>
      </c>
      <c r="G71" s="21" t="s">
        <v>7</v>
      </c>
      <c r="H71" s="21" t="s">
        <v>7</v>
      </c>
      <c r="I71" s="21" t="s">
        <v>7</v>
      </c>
      <c r="J71" s="21" t="s">
        <v>7</v>
      </c>
      <c r="K71" s="21" t="s">
        <v>7</v>
      </c>
      <c r="L71" s="21" t="s">
        <v>7</v>
      </c>
      <c r="M71" s="21" t="s">
        <v>7</v>
      </c>
      <c r="N71" s="21" t="s">
        <v>56</v>
      </c>
      <c r="O71" s="21" t="s">
        <v>56</v>
      </c>
      <c r="AH71" s="11"/>
    </row>
    <row r="72" spans="1:34" ht="15" customHeight="1" x14ac:dyDescent="0.2">
      <c r="A72" s="7"/>
      <c r="B72" s="124" t="s">
        <v>211</v>
      </c>
      <c r="C72" s="124" t="s">
        <v>212</v>
      </c>
      <c r="D72" s="153">
        <v>2015</v>
      </c>
      <c r="E72" s="124"/>
      <c r="F72" s="124">
        <v>144149</v>
      </c>
      <c r="G72" s="124"/>
      <c r="H72" s="124"/>
      <c r="I72" s="119"/>
      <c r="J72" s="119"/>
      <c r="K72" s="119"/>
      <c r="L72" s="119"/>
      <c r="M72" s="119"/>
      <c r="N72" s="119"/>
      <c r="O72" s="129"/>
    </row>
    <row r="73" spans="1:34" ht="15" customHeight="1" x14ac:dyDescent="0.2">
      <c r="A73" s="7"/>
      <c r="B73" s="124"/>
      <c r="C73" s="124"/>
      <c r="D73" s="124"/>
      <c r="E73" s="124"/>
      <c r="F73" s="124"/>
      <c r="G73" s="124"/>
      <c r="H73" s="124"/>
      <c r="I73" s="124"/>
      <c r="J73" s="124"/>
      <c r="K73" s="124"/>
      <c r="L73" s="124"/>
      <c r="M73" s="124"/>
      <c r="N73" s="124"/>
      <c r="O73" s="130"/>
    </row>
    <row r="74" spans="1:34" ht="15" customHeight="1" x14ac:dyDescent="0.2">
      <c r="A74" s="7"/>
      <c r="B74" s="124"/>
      <c r="C74" s="124"/>
      <c r="D74" s="124"/>
      <c r="E74" s="124"/>
      <c r="F74" s="124"/>
      <c r="G74" s="124"/>
      <c r="H74" s="124"/>
      <c r="I74" s="124"/>
      <c r="J74" s="124"/>
      <c r="K74" s="124"/>
      <c r="L74" s="124"/>
      <c r="M74" s="124"/>
      <c r="N74" s="124"/>
      <c r="O74" s="130"/>
    </row>
    <row r="75" spans="1:34" ht="15" customHeight="1" x14ac:dyDescent="0.2">
      <c r="A75" s="7"/>
      <c r="B75" s="124"/>
      <c r="C75" s="124"/>
      <c r="D75" s="124"/>
      <c r="E75" s="124"/>
      <c r="F75" s="124"/>
      <c r="G75" s="124"/>
      <c r="H75" s="124"/>
      <c r="I75" s="124"/>
      <c r="J75" s="124"/>
      <c r="K75" s="124"/>
      <c r="L75" s="124"/>
      <c r="M75" s="124"/>
      <c r="N75" s="124"/>
      <c r="O75" s="130"/>
    </row>
    <row r="76" spans="1:34" ht="15" customHeight="1" x14ac:dyDescent="0.2">
      <c r="A76" s="7"/>
      <c r="B76" s="124"/>
      <c r="C76" s="124"/>
      <c r="D76" s="124"/>
      <c r="E76" s="124"/>
      <c r="F76" s="124"/>
      <c r="G76" s="124"/>
      <c r="H76" s="124"/>
      <c r="I76" s="124"/>
      <c r="J76" s="124"/>
      <c r="K76" s="124"/>
      <c r="L76" s="124"/>
      <c r="M76" s="124"/>
      <c r="N76" s="124"/>
      <c r="O76" s="130"/>
    </row>
    <row r="77" spans="1:34" ht="15" customHeight="1" x14ac:dyDescent="0.2">
      <c r="A77" s="7"/>
      <c r="B77" s="124"/>
      <c r="C77" s="124"/>
      <c r="D77" s="124"/>
      <c r="E77" s="124"/>
      <c r="F77" s="124"/>
      <c r="G77" s="124"/>
      <c r="H77" s="124"/>
      <c r="I77" s="124"/>
      <c r="J77" s="124"/>
      <c r="K77" s="124"/>
      <c r="L77" s="124"/>
      <c r="M77" s="124"/>
      <c r="N77" s="124"/>
      <c r="O77" s="130"/>
    </row>
    <row r="78" spans="1:34" ht="15" customHeight="1" x14ac:dyDescent="0.2">
      <c r="A78" s="7"/>
      <c r="B78" s="124"/>
      <c r="C78" s="124"/>
      <c r="D78" s="124"/>
      <c r="E78" s="124"/>
      <c r="F78" s="124"/>
      <c r="G78" s="124"/>
      <c r="H78" s="124"/>
      <c r="I78" s="124"/>
      <c r="J78" s="124"/>
      <c r="K78" s="124"/>
      <c r="L78" s="124"/>
      <c r="M78" s="124"/>
      <c r="N78" s="124"/>
      <c r="O78" s="130"/>
    </row>
    <row r="79" spans="1:34" ht="15" customHeight="1" x14ac:dyDescent="0.2">
      <c r="B79" s="124"/>
      <c r="C79" s="124"/>
      <c r="D79" s="124"/>
      <c r="E79" s="124"/>
      <c r="F79" s="124"/>
      <c r="G79" s="124"/>
      <c r="H79" s="124"/>
      <c r="I79" s="124"/>
      <c r="J79" s="124"/>
      <c r="K79" s="124"/>
      <c r="L79" s="124"/>
      <c r="M79" s="124"/>
      <c r="N79" s="124"/>
      <c r="O79" s="130"/>
    </row>
    <row r="80" spans="1:34" ht="15" customHeight="1" x14ac:dyDescent="0.2">
      <c r="B80" s="124"/>
      <c r="C80" s="124"/>
      <c r="D80" s="124"/>
      <c r="E80" s="124"/>
      <c r="F80" s="124"/>
      <c r="G80" s="124"/>
      <c r="H80" s="124"/>
      <c r="I80" s="124"/>
      <c r="J80" s="124"/>
      <c r="K80" s="124"/>
      <c r="L80" s="124"/>
      <c r="M80" s="124"/>
      <c r="N80" s="124"/>
      <c r="O80" s="130"/>
    </row>
    <row r="81" spans="2:15" ht="15" customHeight="1" x14ac:dyDescent="0.2">
      <c r="B81" s="124"/>
      <c r="C81" s="124"/>
      <c r="D81" s="124"/>
      <c r="E81" s="124"/>
      <c r="F81" s="124"/>
      <c r="G81" s="124"/>
      <c r="H81" s="124"/>
      <c r="I81" s="124"/>
      <c r="J81" s="124"/>
      <c r="K81" s="124"/>
      <c r="L81" s="124"/>
      <c r="M81" s="124"/>
      <c r="N81" s="124"/>
      <c r="O81" s="130"/>
    </row>
    <row r="82" spans="2:15" ht="15" customHeight="1" x14ac:dyDescent="0.2">
      <c r="B82" s="124"/>
      <c r="C82" s="124"/>
      <c r="D82" s="124"/>
      <c r="E82" s="124"/>
      <c r="F82" s="124"/>
      <c r="G82" s="124"/>
      <c r="H82" s="124"/>
      <c r="I82" s="124"/>
      <c r="J82" s="124"/>
      <c r="K82" s="124"/>
      <c r="L82" s="124"/>
      <c r="M82" s="124"/>
      <c r="N82" s="124"/>
      <c r="O82" s="130"/>
    </row>
    <row r="83" spans="2:15" ht="15" customHeight="1" x14ac:dyDescent="0.2">
      <c r="B83" s="124"/>
      <c r="C83" s="124"/>
      <c r="D83" s="124"/>
      <c r="E83" s="124"/>
      <c r="F83" s="124"/>
      <c r="G83" s="124"/>
      <c r="H83" s="124"/>
      <c r="I83" s="124"/>
      <c r="J83" s="124"/>
      <c r="K83" s="124"/>
      <c r="L83" s="124"/>
      <c r="M83" s="124"/>
      <c r="N83" s="124"/>
      <c r="O83" s="130"/>
    </row>
    <row r="84" spans="2:15" ht="15" customHeight="1" x14ac:dyDescent="0.2">
      <c r="B84" s="124"/>
      <c r="C84" s="124"/>
      <c r="D84" s="124"/>
      <c r="E84" s="124"/>
      <c r="F84" s="124"/>
      <c r="G84" s="124"/>
      <c r="H84" s="124"/>
      <c r="I84" s="124"/>
      <c r="J84" s="124"/>
      <c r="K84" s="124"/>
      <c r="L84" s="124"/>
      <c r="M84" s="124"/>
      <c r="N84" s="124"/>
      <c r="O84" s="130"/>
    </row>
    <row r="85" spans="2:15" ht="15" customHeight="1" x14ac:dyDescent="0.2">
      <c r="B85" s="124"/>
      <c r="C85" s="124"/>
      <c r="D85" s="124"/>
      <c r="E85" s="124"/>
      <c r="F85" s="124"/>
      <c r="G85" s="124"/>
      <c r="H85" s="124"/>
      <c r="I85" s="124"/>
      <c r="J85" s="124"/>
      <c r="K85" s="124"/>
      <c r="L85" s="124"/>
      <c r="M85" s="124"/>
      <c r="N85" s="124"/>
      <c r="O85" s="130"/>
    </row>
    <row r="86" spans="2:15" ht="15" customHeight="1" x14ac:dyDescent="0.2">
      <c r="B86" s="124"/>
      <c r="C86" s="124"/>
      <c r="D86" s="124"/>
      <c r="E86" s="124"/>
      <c r="F86" s="124"/>
      <c r="G86" s="124"/>
      <c r="H86" s="124"/>
      <c r="I86" s="124"/>
      <c r="J86" s="124"/>
      <c r="K86" s="124"/>
      <c r="L86" s="124"/>
      <c r="M86" s="124"/>
      <c r="N86" s="124"/>
      <c r="O86" s="130"/>
    </row>
    <row r="87" spans="2:15" ht="15" customHeight="1" x14ac:dyDescent="0.2">
      <c r="B87" s="124"/>
      <c r="C87" s="124"/>
      <c r="D87" s="124"/>
      <c r="E87" s="124"/>
      <c r="F87" s="124"/>
      <c r="G87" s="124"/>
      <c r="H87" s="124"/>
      <c r="I87" s="124"/>
      <c r="J87" s="124"/>
      <c r="K87" s="124"/>
      <c r="L87" s="124"/>
      <c r="M87" s="124"/>
      <c r="N87" s="124"/>
      <c r="O87" s="130"/>
    </row>
    <row r="88" spans="2:15" ht="15" customHeight="1" x14ac:dyDescent="0.2">
      <c r="B88" s="124"/>
      <c r="C88" s="124"/>
      <c r="D88" s="124"/>
      <c r="E88" s="124"/>
      <c r="F88" s="124"/>
      <c r="G88" s="124"/>
      <c r="H88" s="124"/>
      <c r="I88" s="124"/>
      <c r="J88" s="124"/>
      <c r="K88" s="124"/>
      <c r="L88" s="124"/>
      <c r="M88" s="124"/>
      <c r="N88" s="124"/>
      <c r="O88" s="130"/>
    </row>
    <row r="89" spans="2:15" ht="15" customHeight="1" x14ac:dyDescent="0.2">
      <c r="B89" s="124"/>
      <c r="C89" s="124"/>
      <c r="D89" s="124"/>
      <c r="E89" s="124"/>
      <c r="F89" s="124"/>
      <c r="G89" s="124"/>
      <c r="H89" s="124"/>
      <c r="I89" s="124"/>
      <c r="J89" s="124"/>
      <c r="K89" s="124"/>
      <c r="L89" s="124"/>
      <c r="M89" s="124"/>
      <c r="N89" s="124"/>
      <c r="O89" s="130"/>
    </row>
    <row r="90" spans="2:15" ht="15" customHeight="1" x14ac:dyDescent="0.2">
      <c r="B90" s="124"/>
      <c r="C90" s="124"/>
      <c r="D90" s="124"/>
      <c r="E90" s="124"/>
      <c r="F90" s="124"/>
      <c r="G90" s="124"/>
      <c r="H90" s="124"/>
      <c r="I90" s="124"/>
      <c r="J90" s="124"/>
      <c r="K90" s="124"/>
      <c r="L90" s="124"/>
      <c r="M90" s="124"/>
      <c r="N90" s="124"/>
      <c r="O90" s="130"/>
    </row>
    <row r="91" spans="2:15" ht="15" customHeight="1" x14ac:dyDescent="0.2">
      <c r="B91" s="124"/>
      <c r="C91" s="124"/>
      <c r="D91" s="124"/>
      <c r="E91" s="124"/>
      <c r="F91" s="124"/>
      <c r="G91" s="124"/>
      <c r="H91" s="124"/>
      <c r="I91" s="124"/>
      <c r="J91" s="124"/>
      <c r="K91" s="124"/>
      <c r="L91" s="124"/>
      <c r="M91" s="124"/>
      <c r="N91" s="124"/>
      <c r="O91" s="130"/>
    </row>
    <row r="92" spans="2:15" ht="15" customHeight="1" x14ac:dyDescent="0.2">
      <c r="B92" s="124"/>
      <c r="C92" s="124"/>
      <c r="D92" s="124"/>
      <c r="E92" s="124"/>
      <c r="F92" s="124"/>
      <c r="G92" s="124"/>
      <c r="H92" s="124"/>
      <c r="I92" s="124"/>
      <c r="J92" s="124"/>
      <c r="K92" s="124"/>
      <c r="L92" s="124"/>
      <c r="M92" s="124"/>
      <c r="N92" s="124"/>
      <c r="O92" s="130"/>
    </row>
    <row r="93" spans="2:15" ht="15" customHeight="1" x14ac:dyDescent="0.2">
      <c r="B93" s="124"/>
      <c r="C93" s="124"/>
      <c r="D93" s="124"/>
      <c r="E93" s="124"/>
      <c r="F93" s="124"/>
      <c r="G93" s="124"/>
      <c r="H93" s="124"/>
      <c r="I93" s="124"/>
      <c r="J93" s="124"/>
      <c r="K93" s="124"/>
      <c r="L93" s="124"/>
      <c r="M93" s="124"/>
      <c r="N93" s="124"/>
      <c r="O93" s="130"/>
    </row>
    <row r="94" spans="2:15" ht="15" customHeight="1" x14ac:dyDescent="0.2">
      <c r="B94" s="124"/>
      <c r="C94" s="124"/>
      <c r="D94" s="124"/>
      <c r="E94" s="124"/>
      <c r="F94" s="124"/>
      <c r="G94" s="124"/>
      <c r="H94" s="124"/>
      <c r="I94" s="124"/>
      <c r="J94" s="124"/>
      <c r="K94" s="124"/>
      <c r="L94" s="124"/>
      <c r="M94" s="124"/>
      <c r="N94" s="124"/>
      <c r="O94" s="130"/>
    </row>
    <row r="95" spans="2:15" ht="15" customHeight="1" x14ac:dyDescent="0.2">
      <c r="B95" s="124"/>
      <c r="C95" s="124"/>
      <c r="D95" s="124"/>
      <c r="E95" s="124"/>
      <c r="F95" s="124"/>
      <c r="G95" s="124"/>
      <c r="H95" s="124"/>
      <c r="I95" s="124"/>
      <c r="J95" s="124"/>
      <c r="K95" s="124"/>
      <c r="L95" s="124"/>
      <c r="M95" s="124"/>
      <c r="N95" s="124"/>
      <c r="O95" s="130"/>
    </row>
    <row r="96" spans="2:15" ht="15" customHeight="1" x14ac:dyDescent="0.2">
      <c r="B96" s="120"/>
      <c r="C96" s="120"/>
      <c r="D96" s="120"/>
      <c r="E96" s="120"/>
      <c r="F96" s="120"/>
      <c r="G96" s="120"/>
      <c r="H96" s="120"/>
      <c r="I96" s="120"/>
      <c r="J96" s="120"/>
      <c r="K96" s="120"/>
      <c r="L96" s="120"/>
      <c r="M96" s="120"/>
      <c r="N96" s="120"/>
      <c r="O96" s="131"/>
    </row>
    <row r="97" spans="2:34" ht="15" customHeight="1" x14ac:dyDescent="0.2"/>
    <row r="98" spans="2:34" ht="15" customHeight="1" x14ac:dyDescent="0.2">
      <c r="B98" s="11"/>
      <c r="C98" s="11"/>
      <c r="D98" s="11"/>
      <c r="E98" s="10" t="s">
        <v>4</v>
      </c>
      <c r="F98" s="182" t="str">
        <f>C3</f>
        <v>Clark Public Utilities</v>
      </c>
      <c r="G98" s="183"/>
      <c r="H98" s="184"/>
    </row>
    <row r="99" spans="2:34" ht="15" customHeight="1" x14ac:dyDescent="0.2">
      <c r="E99" s="10" t="s">
        <v>47</v>
      </c>
      <c r="F99" s="185">
        <v>2015</v>
      </c>
      <c r="G99" s="186"/>
      <c r="H99" s="187"/>
    </row>
    <row r="100" spans="2:34" ht="15" customHeight="1" x14ac:dyDescent="0.2">
      <c r="B100" s="11" t="s">
        <v>61</v>
      </c>
      <c r="C100" s="11"/>
      <c r="D100" s="11"/>
      <c r="E100" s="10"/>
      <c r="F100" s="43"/>
    </row>
    <row r="101" spans="2:34" ht="15" customHeight="1" x14ac:dyDescent="0.2">
      <c r="B101" s="24"/>
      <c r="C101" s="24"/>
      <c r="D101" s="24"/>
      <c r="E101" s="24"/>
      <c r="F101" s="24"/>
      <c r="G101" s="24"/>
      <c r="H101" s="24"/>
      <c r="I101" s="24"/>
      <c r="J101" s="24"/>
      <c r="K101" s="24"/>
      <c r="L101" s="24"/>
      <c r="M101" s="24"/>
    </row>
    <row r="102" spans="2:34" ht="15" customHeight="1" x14ac:dyDescent="0.2">
      <c r="B102" s="24"/>
      <c r="C102" s="24"/>
      <c r="D102" s="24"/>
      <c r="E102" s="24"/>
      <c r="F102" s="24"/>
      <c r="G102" s="24"/>
      <c r="H102" s="24"/>
      <c r="I102" s="24"/>
      <c r="J102" s="24"/>
      <c r="K102" s="24"/>
      <c r="L102" s="24"/>
      <c r="M102" s="24"/>
    </row>
    <row r="103" spans="2:34" s="7" customFormat="1" ht="15" customHeight="1" x14ac:dyDescent="0.2">
      <c r="B103" s="24"/>
      <c r="C103" s="24"/>
      <c r="D103" s="24"/>
      <c r="E103" s="24"/>
      <c r="F103" s="24"/>
      <c r="G103" s="24"/>
      <c r="H103" s="24"/>
      <c r="I103" s="24"/>
      <c r="J103" s="24"/>
      <c r="K103" s="24"/>
      <c r="L103" s="24"/>
      <c r="M103" s="24"/>
      <c r="AH103" s="1"/>
    </row>
    <row r="104" spans="2:34" s="7" customFormat="1" ht="15" customHeight="1" x14ac:dyDescent="0.2">
      <c r="B104" s="24"/>
      <c r="C104" s="24"/>
      <c r="D104" s="24"/>
      <c r="E104" s="24"/>
      <c r="F104" s="24"/>
      <c r="G104" s="24"/>
      <c r="H104" s="24"/>
      <c r="I104" s="24"/>
      <c r="J104" s="24"/>
      <c r="K104" s="24"/>
      <c r="L104" s="24"/>
      <c r="M104" s="24"/>
    </row>
    <row r="105" spans="2:34" s="7" customFormat="1" x14ac:dyDescent="0.2">
      <c r="B105" s="24"/>
      <c r="C105" s="24"/>
      <c r="D105" s="24"/>
      <c r="E105" s="24"/>
      <c r="F105" s="24"/>
      <c r="G105" s="24"/>
      <c r="H105" s="24"/>
      <c r="I105" s="24"/>
      <c r="J105" s="24"/>
      <c r="K105" s="24"/>
      <c r="L105" s="24"/>
      <c r="M105" s="24"/>
    </row>
    <row r="106" spans="2:34" s="7" customFormat="1" x14ac:dyDescent="0.2">
      <c r="B106" s="24"/>
      <c r="C106" s="24"/>
      <c r="D106" s="24"/>
      <c r="E106" s="24"/>
      <c r="F106" s="24"/>
      <c r="G106" s="24"/>
      <c r="H106" s="24"/>
      <c r="I106" s="24"/>
      <c r="J106" s="24"/>
      <c r="K106" s="24"/>
      <c r="L106" s="24"/>
      <c r="M106" s="24"/>
    </row>
    <row r="107" spans="2:34" s="7" customFormat="1" x14ac:dyDescent="0.2">
      <c r="B107" s="2" t="s">
        <v>62</v>
      </c>
      <c r="C107" s="24"/>
      <c r="D107" s="24"/>
      <c r="E107" s="24"/>
      <c r="F107" s="24"/>
      <c r="G107" s="24"/>
      <c r="H107" s="24"/>
      <c r="I107" s="24"/>
      <c r="J107" s="24"/>
      <c r="K107" s="24"/>
      <c r="L107" s="24"/>
      <c r="M107" s="24"/>
    </row>
    <row r="108" spans="2:34" x14ac:dyDescent="0.2">
      <c r="B108" s="24"/>
      <c r="C108" s="24"/>
      <c r="D108" s="24"/>
      <c r="E108" s="24"/>
      <c r="F108" s="24"/>
      <c r="G108" s="24"/>
      <c r="H108" s="24"/>
      <c r="I108" s="24"/>
      <c r="J108" s="24"/>
      <c r="K108" s="24"/>
      <c r="L108" s="24"/>
      <c r="M108" s="24"/>
      <c r="AH108" s="7"/>
    </row>
    <row r="109" spans="2:34" x14ac:dyDescent="0.2">
      <c r="B109" s="24"/>
      <c r="C109" s="24"/>
      <c r="D109" s="24"/>
      <c r="E109" s="24"/>
      <c r="F109" s="24"/>
      <c r="G109" s="24"/>
      <c r="H109" s="24"/>
      <c r="I109" s="24"/>
      <c r="J109" s="24"/>
      <c r="K109" s="24"/>
      <c r="L109" s="24"/>
      <c r="M109" s="24"/>
    </row>
    <row r="110" spans="2:34" x14ac:dyDescent="0.2">
      <c r="B110" s="24"/>
      <c r="C110" s="24"/>
      <c r="D110" s="24"/>
      <c r="E110" s="24"/>
      <c r="F110" s="24"/>
      <c r="G110" s="24"/>
      <c r="H110" s="24"/>
      <c r="I110" s="24"/>
      <c r="J110" s="24"/>
      <c r="K110" s="24"/>
      <c r="L110" s="24"/>
      <c r="M110" s="24"/>
    </row>
    <row r="111" spans="2:34" x14ac:dyDescent="0.2">
      <c r="B111" s="24"/>
      <c r="C111" s="24"/>
      <c r="D111" s="24"/>
      <c r="E111" s="24"/>
      <c r="F111" s="24"/>
      <c r="G111" s="24"/>
      <c r="H111" s="24"/>
      <c r="I111" s="24"/>
      <c r="J111" s="24"/>
      <c r="K111" s="24"/>
      <c r="L111" s="24"/>
      <c r="M111" s="24"/>
    </row>
    <row r="112" spans="2:34" x14ac:dyDescent="0.2">
      <c r="B112" s="24"/>
      <c r="C112" s="24"/>
      <c r="D112" s="24"/>
      <c r="E112" s="24"/>
      <c r="F112" s="24"/>
      <c r="G112" s="24"/>
      <c r="H112" s="24"/>
      <c r="I112" s="24"/>
      <c r="J112" s="24"/>
      <c r="K112" s="24"/>
      <c r="L112" s="24"/>
      <c r="M112" s="24"/>
    </row>
    <row r="113" spans="2:13" x14ac:dyDescent="0.2">
      <c r="B113" s="24"/>
      <c r="C113" s="24"/>
      <c r="D113" s="24"/>
      <c r="E113" s="24"/>
      <c r="F113" s="24"/>
      <c r="G113" s="24"/>
      <c r="H113" s="24"/>
      <c r="I113" s="24"/>
      <c r="J113" s="24"/>
      <c r="K113" s="24"/>
      <c r="L113" s="24"/>
      <c r="M113" s="24"/>
    </row>
    <row r="114" spans="2:13" x14ac:dyDescent="0.2">
      <c r="B114" s="24"/>
      <c r="C114" s="24"/>
      <c r="D114" s="24"/>
      <c r="E114" s="24"/>
      <c r="F114" s="24"/>
      <c r="G114" s="24"/>
      <c r="H114" s="24"/>
      <c r="I114" s="24"/>
      <c r="J114" s="24"/>
      <c r="K114" s="24"/>
      <c r="L114" s="24"/>
      <c r="M114" s="24"/>
    </row>
    <row r="115" spans="2:13" x14ac:dyDescent="0.2">
      <c r="C115" s="24"/>
      <c r="D115" s="24"/>
      <c r="E115" s="24"/>
      <c r="F115" s="24"/>
      <c r="G115" s="24"/>
      <c r="H115" s="24"/>
      <c r="I115" s="24"/>
      <c r="J115" s="24"/>
      <c r="K115" s="24"/>
      <c r="L115" s="24"/>
      <c r="M115" s="24"/>
    </row>
    <row r="116" spans="2:13" x14ac:dyDescent="0.2">
      <c r="B116" s="24"/>
      <c r="C116" s="24"/>
      <c r="D116" s="24"/>
      <c r="E116" s="24"/>
      <c r="F116" s="24"/>
      <c r="G116" s="24"/>
      <c r="H116" s="24"/>
      <c r="I116" s="24"/>
      <c r="J116" s="24"/>
      <c r="K116" s="24"/>
      <c r="L116" s="24"/>
      <c r="M116" s="24"/>
    </row>
    <row r="117" spans="2:13" x14ac:dyDescent="0.2">
      <c r="B117" s="24"/>
      <c r="C117" s="24"/>
      <c r="D117" s="24"/>
      <c r="E117" s="24"/>
      <c r="F117" s="24"/>
      <c r="G117" s="24"/>
      <c r="H117" s="24"/>
      <c r="I117" s="24"/>
      <c r="J117" s="24"/>
      <c r="K117" s="24"/>
      <c r="L117" s="24"/>
      <c r="M117" s="24"/>
    </row>
    <row r="118" spans="2:13" x14ac:dyDescent="0.2">
      <c r="B118" s="24"/>
      <c r="C118" s="24"/>
      <c r="D118" s="24"/>
      <c r="E118" s="24"/>
      <c r="F118" s="24"/>
      <c r="G118" s="24"/>
      <c r="H118" s="24"/>
      <c r="I118" s="24"/>
      <c r="J118" s="24"/>
      <c r="K118" s="24"/>
      <c r="L118" s="24"/>
      <c r="M118" s="24"/>
    </row>
    <row r="119" spans="2:13" x14ac:dyDescent="0.2">
      <c r="B119" s="24"/>
      <c r="C119" s="24"/>
      <c r="D119" s="24"/>
      <c r="E119" s="24"/>
      <c r="F119" s="24"/>
      <c r="G119" s="24"/>
      <c r="H119" s="24"/>
      <c r="I119" s="24"/>
      <c r="J119" s="24"/>
      <c r="K119" s="24"/>
      <c r="L119" s="24"/>
      <c r="M119" s="24"/>
    </row>
    <row r="120" spans="2:13" x14ac:dyDescent="0.2">
      <c r="B120" s="24"/>
      <c r="C120" s="24"/>
      <c r="D120" s="24"/>
      <c r="E120" s="24"/>
      <c r="F120" s="24"/>
      <c r="G120" s="24"/>
      <c r="H120" s="24"/>
      <c r="I120" s="24"/>
      <c r="J120" s="24"/>
      <c r="K120" s="24"/>
      <c r="L120" s="24"/>
      <c r="M120" s="24"/>
    </row>
    <row r="121" spans="2:13" x14ac:dyDescent="0.2">
      <c r="B121" s="24"/>
      <c r="C121" s="24"/>
      <c r="D121" s="24"/>
      <c r="E121" s="24"/>
      <c r="F121" s="24"/>
      <c r="G121" s="24"/>
      <c r="H121" s="24"/>
      <c r="I121" s="24"/>
      <c r="J121" s="24"/>
      <c r="K121" s="24"/>
      <c r="L121" s="24"/>
      <c r="M121" s="24"/>
    </row>
    <row r="122" spans="2:13" x14ac:dyDescent="0.2">
      <c r="B122" s="24"/>
      <c r="C122" s="24"/>
      <c r="D122" s="24"/>
      <c r="E122" s="24"/>
      <c r="F122" s="24"/>
      <c r="G122" s="24"/>
      <c r="H122" s="24"/>
      <c r="I122" s="24"/>
      <c r="J122" s="24"/>
      <c r="K122" s="24"/>
      <c r="L122" s="24"/>
      <c r="M122" s="24"/>
    </row>
    <row r="123" spans="2:13" x14ac:dyDescent="0.2">
      <c r="B123" s="24"/>
      <c r="C123" s="24"/>
      <c r="D123" s="24"/>
      <c r="E123" s="24"/>
      <c r="F123" s="24"/>
      <c r="G123" s="24"/>
      <c r="H123" s="24"/>
      <c r="I123" s="24"/>
      <c r="J123" s="24"/>
      <c r="K123" s="24"/>
      <c r="L123" s="24"/>
      <c r="M123" s="24"/>
    </row>
    <row r="124" spans="2:13" x14ac:dyDescent="0.2">
      <c r="B124" s="24"/>
      <c r="C124" s="24"/>
      <c r="D124" s="24"/>
      <c r="E124" s="24"/>
      <c r="F124" s="24"/>
      <c r="G124" s="24"/>
      <c r="H124" s="24"/>
      <c r="I124" s="24"/>
      <c r="J124" s="24"/>
      <c r="K124" s="24"/>
      <c r="L124" s="24"/>
      <c r="M124" s="24"/>
    </row>
    <row r="125" spans="2:13" x14ac:dyDescent="0.2">
      <c r="B125" s="24"/>
      <c r="C125" s="24"/>
      <c r="D125" s="24"/>
      <c r="E125" s="24"/>
      <c r="F125" s="24"/>
      <c r="G125" s="24"/>
      <c r="H125" s="24"/>
      <c r="I125" s="24"/>
      <c r="J125" s="24"/>
      <c r="K125" s="24"/>
      <c r="L125" s="24"/>
      <c r="M125" s="24"/>
    </row>
    <row r="126" spans="2:13" x14ac:dyDescent="0.2">
      <c r="B126" s="24"/>
      <c r="C126" s="24"/>
      <c r="D126" s="24"/>
      <c r="E126" s="24"/>
      <c r="F126" s="24"/>
      <c r="G126" s="24"/>
      <c r="H126" s="24"/>
      <c r="I126" s="24"/>
      <c r="J126" s="24"/>
      <c r="K126" s="24"/>
      <c r="L126" s="24"/>
      <c r="M126" s="24"/>
    </row>
    <row r="127" spans="2:13" x14ac:dyDescent="0.2">
      <c r="B127" s="24"/>
      <c r="C127" s="24"/>
      <c r="D127" s="24"/>
      <c r="E127" s="24"/>
      <c r="F127" s="24"/>
      <c r="G127" s="24"/>
      <c r="H127" s="24"/>
      <c r="I127" s="24"/>
      <c r="J127" s="24"/>
      <c r="K127" s="24"/>
      <c r="L127" s="24"/>
      <c r="M127" s="24"/>
    </row>
    <row r="128" spans="2:13" x14ac:dyDescent="0.2">
      <c r="B128" s="24"/>
      <c r="C128" s="24"/>
      <c r="D128" s="24"/>
      <c r="E128" s="24"/>
      <c r="F128" s="24"/>
      <c r="G128" s="24"/>
      <c r="H128" s="24"/>
      <c r="I128" s="24"/>
      <c r="J128" s="24"/>
      <c r="K128" s="24"/>
      <c r="L128" s="24"/>
      <c r="M128" s="24"/>
    </row>
    <row r="129" spans="2:13" x14ac:dyDescent="0.2">
      <c r="B129" s="24"/>
      <c r="C129" s="24"/>
      <c r="D129" s="24"/>
      <c r="E129" s="24"/>
      <c r="F129" s="24"/>
      <c r="G129" s="24"/>
      <c r="H129" s="24"/>
      <c r="I129" s="24"/>
      <c r="J129" s="24"/>
      <c r="K129" s="24"/>
      <c r="L129" s="24"/>
      <c r="M129" s="24"/>
    </row>
    <row r="130" spans="2:13" x14ac:dyDescent="0.2">
      <c r="B130" s="24"/>
      <c r="C130" s="24"/>
      <c r="D130" s="24"/>
      <c r="E130" s="24"/>
      <c r="F130" s="24"/>
      <c r="G130" s="24"/>
      <c r="H130" s="24"/>
      <c r="I130" s="24"/>
      <c r="J130" s="24"/>
      <c r="K130" s="24"/>
      <c r="L130" s="24"/>
      <c r="M130" s="24"/>
    </row>
    <row r="131" spans="2:13" x14ac:dyDescent="0.2">
      <c r="B131" s="24"/>
      <c r="C131" s="24"/>
      <c r="D131" s="24"/>
      <c r="E131" s="24"/>
      <c r="F131" s="24"/>
      <c r="G131" s="24"/>
      <c r="H131" s="24"/>
      <c r="I131" s="24"/>
      <c r="J131" s="24"/>
      <c r="K131" s="24"/>
      <c r="L131" s="24"/>
      <c r="M131" s="24"/>
    </row>
    <row r="132" spans="2:13" x14ac:dyDescent="0.2">
      <c r="B132" s="24"/>
      <c r="C132" s="24"/>
      <c r="D132" s="24"/>
      <c r="E132" s="24"/>
      <c r="F132" s="24"/>
      <c r="G132" s="24"/>
      <c r="H132" s="24"/>
      <c r="I132" s="24"/>
      <c r="J132" s="24"/>
      <c r="K132" s="24"/>
      <c r="L132" s="24"/>
      <c r="M132" s="24"/>
    </row>
    <row r="133" spans="2:13" x14ac:dyDescent="0.2">
      <c r="B133" s="24"/>
      <c r="C133" s="24"/>
      <c r="D133" s="24"/>
      <c r="E133" s="24"/>
      <c r="F133" s="24"/>
      <c r="G133" s="24"/>
      <c r="H133" s="24"/>
      <c r="I133" s="24"/>
      <c r="J133" s="24"/>
      <c r="K133" s="24"/>
      <c r="L133" s="24"/>
      <c r="M133" s="24"/>
    </row>
    <row r="134" spans="2:13" x14ac:dyDescent="0.2">
      <c r="B134" s="24"/>
      <c r="C134" s="24"/>
      <c r="D134" s="24"/>
      <c r="E134" s="24"/>
      <c r="F134" s="24"/>
      <c r="G134" s="24"/>
      <c r="H134" s="24"/>
      <c r="I134" s="24"/>
      <c r="J134" s="24"/>
      <c r="K134" s="24"/>
      <c r="L134" s="24"/>
      <c r="M134" s="24"/>
    </row>
    <row r="135" spans="2:13" x14ac:dyDescent="0.2">
      <c r="B135" s="24"/>
      <c r="C135" s="24"/>
      <c r="D135" s="24"/>
      <c r="E135" s="24"/>
      <c r="F135" s="24"/>
      <c r="G135" s="24"/>
      <c r="H135" s="24"/>
      <c r="I135" s="24"/>
      <c r="J135" s="24"/>
      <c r="K135" s="24"/>
      <c r="L135" s="24"/>
      <c r="M135" s="24"/>
    </row>
    <row r="136" spans="2:13" x14ac:dyDescent="0.2">
      <c r="B136" s="24"/>
      <c r="C136" s="24"/>
      <c r="D136" s="24"/>
      <c r="E136" s="24"/>
      <c r="F136" s="24"/>
      <c r="G136" s="24"/>
      <c r="H136" s="24"/>
      <c r="I136" s="24"/>
      <c r="J136" s="24"/>
      <c r="K136" s="24"/>
      <c r="L136" s="24"/>
      <c r="M136" s="24"/>
    </row>
  </sheetData>
  <mergeCells count="16">
    <mergeCell ref="I2:N2"/>
    <mergeCell ref="G10:N10"/>
    <mergeCell ref="C3:E3"/>
    <mergeCell ref="C4:E4"/>
    <mergeCell ref="C5:E5"/>
    <mergeCell ref="C6:E6"/>
    <mergeCell ref="C7:E7"/>
    <mergeCell ref="I14:M14"/>
    <mergeCell ref="F66:H66"/>
    <mergeCell ref="F67:H67"/>
    <mergeCell ref="F98:H98"/>
    <mergeCell ref="F99:H99"/>
    <mergeCell ref="F36:H36"/>
    <mergeCell ref="F37:H37"/>
    <mergeCell ref="B39:G39"/>
    <mergeCell ref="C43:D43"/>
  </mergeCells>
  <hyperlinks>
    <hyperlink ref="C7" r:id="rId1"/>
  </hyperlinks>
  <pageMargins left="0.7" right="0.7" top="0.75" bottom="0.75" header="0.3" footer="0.3"/>
  <pageSetup scale="70" fitToHeight="0" orientation="landscape" r:id="rId2"/>
  <rowBreaks count="3" manualBreakCount="3">
    <brk id="34" max="12" man="1"/>
    <brk id="64" max="12" man="1"/>
    <brk id="97"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5448" r:id="rId5" name="Check Box 328">
              <controlPr defaultSize="0" autoFill="0" autoLine="0" autoPict="0">
                <anchor moveWithCells="1" sizeWithCells="1">
                  <from>
                    <xdr:col>2</xdr:col>
                    <xdr:colOff>19050</xdr:colOff>
                    <xdr:row>8</xdr:row>
                    <xdr:rowOff>9525</xdr:rowOff>
                  </from>
                  <to>
                    <xdr:col>4</xdr:col>
                    <xdr:colOff>571500</xdr:colOff>
                    <xdr:row>9</xdr:row>
                    <xdr:rowOff>19050</xdr:rowOff>
                  </to>
                </anchor>
              </controlPr>
            </control>
          </mc:Choice>
        </mc:AlternateContent>
        <mc:AlternateContent xmlns:mc="http://schemas.openxmlformats.org/markup-compatibility/2006">
          <mc:Choice Requires="x14">
            <control shapeId="5449" r:id="rId6" name="Check Box 329">
              <controlPr defaultSize="0" autoFill="0" autoLine="0" autoPict="0">
                <anchor moveWithCells="1" sizeWithCells="1">
                  <from>
                    <xdr:col>2</xdr:col>
                    <xdr:colOff>19050</xdr:colOff>
                    <xdr:row>9</xdr:row>
                    <xdr:rowOff>28575</xdr:rowOff>
                  </from>
                  <to>
                    <xdr:col>5</xdr:col>
                    <xdr:colOff>0</xdr:colOff>
                    <xdr:row>10</xdr:row>
                    <xdr:rowOff>28575</xdr:rowOff>
                  </to>
                </anchor>
              </controlPr>
            </control>
          </mc:Choice>
        </mc:AlternateContent>
        <mc:AlternateContent xmlns:mc="http://schemas.openxmlformats.org/markup-compatibility/2006">
          <mc:Choice Requires="x14">
            <control shapeId="5450" r:id="rId7" name="Check Box 330">
              <controlPr defaultSize="0" autoFill="0" autoLine="0" autoPict="0">
                <anchor moveWithCells="1" sizeWithCells="1">
                  <from>
                    <xdr:col>2</xdr:col>
                    <xdr:colOff>19050</xdr:colOff>
                    <xdr:row>10</xdr:row>
                    <xdr:rowOff>66675</xdr:rowOff>
                  </from>
                  <to>
                    <xdr:col>5</xdr:col>
                    <xdr:colOff>114300</xdr:colOff>
                    <xdr:row>11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77"/>
  <sheetViews>
    <sheetView showGridLines="0" view="pageBreakPreview" topLeftCell="A52" zoomScaleNormal="100" zoomScaleSheetLayoutView="100" workbookViewId="0">
      <selection activeCell="I40" sqref="I40"/>
    </sheetView>
  </sheetViews>
  <sheetFormatPr defaultColWidth="9.140625" defaultRowHeight="12.75" x14ac:dyDescent="0.2"/>
  <cols>
    <col min="1" max="1" width="2.7109375" style="1" customWidth="1"/>
    <col min="2" max="2" width="30.140625" style="1" customWidth="1"/>
    <col min="3" max="3" width="10.85546875" style="1" customWidth="1"/>
    <col min="4" max="4" width="10.28515625" style="1" customWidth="1"/>
    <col min="5" max="5" width="14" style="1" customWidth="1"/>
    <col min="6" max="6" width="14.140625" style="1" customWidth="1"/>
    <col min="7" max="9" width="10.7109375" style="1" customWidth="1"/>
    <col min="10" max="10" width="15.7109375" style="1" customWidth="1"/>
    <col min="11" max="11" width="10.7109375" style="1" customWidth="1"/>
    <col min="12" max="12" width="16.5703125" style="1" customWidth="1"/>
    <col min="13" max="16384" width="9.140625" style="1"/>
  </cols>
  <sheetData>
    <row r="1" spans="2:12" s="7" customFormat="1" ht="19.5" x14ac:dyDescent="0.4">
      <c r="B1" s="46" t="s">
        <v>165</v>
      </c>
      <c r="C1" s="46"/>
      <c r="D1" s="46"/>
    </row>
    <row r="2" spans="2:12" ht="15" customHeight="1" x14ac:dyDescent="0.2"/>
    <row r="3" spans="2:12" ht="16.5" customHeight="1" x14ac:dyDescent="0.25">
      <c r="B3" s="138" t="s">
        <v>166</v>
      </c>
      <c r="C3" s="6"/>
      <c r="D3" s="6"/>
      <c r="E3" s="10" t="s">
        <v>4</v>
      </c>
      <c r="F3" s="182" t="str">
        <f>'Renewables Report'!$C$3</f>
        <v>Clark Public Utilities</v>
      </c>
      <c r="G3" s="183"/>
      <c r="H3" s="184"/>
    </row>
    <row r="4" spans="2:12" ht="15" customHeight="1" x14ac:dyDescent="0.2">
      <c r="E4" s="10" t="s">
        <v>13</v>
      </c>
      <c r="F4" s="206">
        <v>2015</v>
      </c>
      <c r="G4" s="207"/>
      <c r="H4" s="208"/>
    </row>
    <row r="5" spans="2:12" ht="15" customHeight="1" x14ac:dyDescent="0.2">
      <c r="E5" s="10"/>
      <c r="F5" s="84"/>
      <c r="G5" s="9"/>
      <c r="H5" s="9"/>
    </row>
    <row r="6" spans="2:12" ht="48" x14ac:dyDescent="0.2">
      <c r="B6" s="49" t="s">
        <v>35</v>
      </c>
      <c r="C6" s="89" t="s">
        <v>54</v>
      </c>
      <c r="D6" s="107" t="s">
        <v>7</v>
      </c>
      <c r="E6" s="102" t="s">
        <v>146</v>
      </c>
      <c r="F6" s="102" t="s">
        <v>148</v>
      </c>
      <c r="G6" s="212" t="s">
        <v>145</v>
      </c>
      <c r="H6" s="212"/>
      <c r="I6" s="212"/>
      <c r="J6" s="102" t="s">
        <v>147</v>
      </c>
      <c r="K6" s="102" t="s">
        <v>149</v>
      </c>
      <c r="L6" s="102" t="s">
        <v>150</v>
      </c>
    </row>
    <row r="7" spans="2:12" ht="15" customHeight="1" x14ac:dyDescent="0.2">
      <c r="B7" s="90" t="str">
        <f>'Renewables Report'!B44</f>
        <v>BPATier 1 Renewable Resources Forecast</v>
      </c>
      <c r="C7" s="91">
        <f>'Renewables Report'!C44</f>
        <v>0</v>
      </c>
      <c r="D7" s="92">
        <f>SUM('Renewables Report'!E44:M44)</f>
        <v>0</v>
      </c>
      <c r="E7" s="132"/>
      <c r="F7" s="96" t="str">
        <f>IF(D7&gt;0,E7/D7,"")</f>
        <v/>
      </c>
      <c r="G7" s="213"/>
      <c r="H7" s="214"/>
      <c r="I7" s="215"/>
      <c r="J7" s="132"/>
      <c r="K7" s="96" t="str">
        <f>IF(D7&gt;0,J7/D7,"")</f>
        <v/>
      </c>
      <c r="L7" s="96">
        <f>MAX(0,E7-J7)</f>
        <v>0</v>
      </c>
    </row>
    <row r="8" spans="2:12" ht="15" customHeight="1" x14ac:dyDescent="0.2">
      <c r="B8" s="93" t="str">
        <f>'Renewables Report'!B45</f>
        <v>Condon Wind Project</v>
      </c>
      <c r="C8" s="94" t="str">
        <f>'Renewables Report'!C45</f>
        <v>W774</v>
      </c>
      <c r="D8" s="95">
        <f>SUM('Renewables Report'!E45:M45)</f>
        <v>1596</v>
      </c>
      <c r="E8" s="133"/>
      <c r="F8" s="97">
        <f t="shared" ref="F8:F27" si="0">IF(D8&gt;0,E8/D8,"")</f>
        <v>0</v>
      </c>
      <c r="G8" s="203"/>
      <c r="H8" s="204"/>
      <c r="I8" s="205"/>
      <c r="J8" s="133"/>
      <c r="K8" s="97">
        <f t="shared" ref="K8:K27" si="1">IF(D8&gt;0,J8/D8,"")</f>
        <v>0</v>
      </c>
      <c r="L8" s="97">
        <f t="shared" ref="L8:L27" si="2">MAX(0,E8-J8)</f>
        <v>0</v>
      </c>
    </row>
    <row r="9" spans="2:12" ht="15" customHeight="1" x14ac:dyDescent="0.2">
      <c r="B9" s="93" t="str">
        <f>'Renewables Report'!B46</f>
        <v>Condon Phae II</v>
      </c>
      <c r="C9" s="94" t="str">
        <f>'Renewables Report'!C46</f>
        <v>W833</v>
      </c>
      <c r="D9" s="95">
        <f>SUM('Renewables Report'!E46:M46)</f>
        <v>1764</v>
      </c>
      <c r="E9" s="133"/>
      <c r="F9" s="97">
        <f t="shared" si="0"/>
        <v>0</v>
      </c>
      <c r="G9" s="203"/>
      <c r="H9" s="204"/>
      <c r="I9" s="205"/>
      <c r="J9" s="133"/>
      <c r="K9" s="97">
        <f t="shared" si="1"/>
        <v>0</v>
      </c>
      <c r="L9" s="97">
        <f t="shared" si="2"/>
        <v>0</v>
      </c>
    </row>
    <row r="10" spans="2:12" ht="15" customHeight="1" x14ac:dyDescent="0.2">
      <c r="B10" s="93" t="str">
        <f>'Renewables Report'!B47</f>
        <v>Klondike I Wind Project</v>
      </c>
      <c r="C10" s="94" t="str">
        <f>'Renewables Report'!C47</f>
        <v>W238</v>
      </c>
      <c r="D10" s="95">
        <f>SUM('Renewables Report'!E47:M47)</f>
        <v>1651</v>
      </c>
      <c r="E10" s="133"/>
      <c r="F10" s="97">
        <f t="shared" si="0"/>
        <v>0</v>
      </c>
      <c r="G10" s="203"/>
      <c r="H10" s="204"/>
      <c r="I10" s="205"/>
      <c r="J10" s="133"/>
      <c r="K10" s="97">
        <f t="shared" si="1"/>
        <v>0</v>
      </c>
      <c r="L10" s="97">
        <f t="shared" si="2"/>
        <v>0</v>
      </c>
    </row>
    <row r="11" spans="2:12" ht="15" customHeight="1" x14ac:dyDescent="0.2">
      <c r="B11" s="93" t="str">
        <f>'Renewables Report'!B48</f>
        <v>Klondie III Wind Project</v>
      </c>
      <c r="C11" s="94" t="str">
        <f>'Renewables Report'!C48</f>
        <v>W237</v>
      </c>
      <c r="D11" s="95">
        <f>SUM('Renewables Report'!E48:M48)</f>
        <v>4245</v>
      </c>
      <c r="E11" s="133"/>
      <c r="F11" s="97">
        <f t="shared" si="0"/>
        <v>0</v>
      </c>
      <c r="G11" s="203"/>
      <c r="H11" s="204"/>
      <c r="I11" s="205"/>
      <c r="J11" s="133"/>
      <c r="K11" s="97">
        <f t="shared" si="1"/>
        <v>0</v>
      </c>
      <c r="L11" s="97">
        <f t="shared" si="2"/>
        <v>0</v>
      </c>
    </row>
    <row r="12" spans="2:12" ht="15" customHeight="1" x14ac:dyDescent="0.2">
      <c r="B12" s="93" t="str">
        <f>'Renewables Report'!B49</f>
        <v>Stateline Wind Project</v>
      </c>
      <c r="C12" s="94" t="str">
        <f>'Renewables Report'!C49</f>
        <v>W248</v>
      </c>
      <c r="D12" s="95">
        <f>SUM('Renewables Report'!E49:M49)</f>
        <v>6488</v>
      </c>
      <c r="E12" s="133"/>
      <c r="F12" s="97">
        <f t="shared" si="0"/>
        <v>0</v>
      </c>
      <c r="G12" s="203"/>
      <c r="H12" s="204"/>
      <c r="I12" s="205"/>
      <c r="J12" s="133"/>
      <c r="K12" s="97">
        <f t="shared" si="1"/>
        <v>0</v>
      </c>
      <c r="L12" s="97">
        <f t="shared" si="2"/>
        <v>0</v>
      </c>
    </row>
    <row r="13" spans="2:12" ht="15" customHeight="1" x14ac:dyDescent="0.2">
      <c r="B13" s="93">
        <f>'Renewables Report'!B50</f>
        <v>0</v>
      </c>
      <c r="C13" s="94">
        <f>'Renewables Report'!C50</f>
        <v>0</v>
      </c>
      <c r="D13" s="95">
        <f>SUM('Renewables Report'!E50:M50)</f>
        <v>0</v>
      </c>
      <c r="E13" s="133"/>
      <c r="F13" s="97" t="str">
        <f t="shared" si="0"/>
        <v/>
      </c>
      <c r="G13" s="203"/>
      <c r="H13" s="204"/>
      <c r="I13" s="205"/>
      <c r="J13" s="133"/>
      <c r="K13" s="97" t="str">
        <f t="shared" si="1"/>
        <v/>
      </c>
      <c r="L13" s="97">
        <f t="shared" si="2"/>
        <v>0</v>
      </c>
    </row>
    <row r="14" spans="2:12" ht="15" customHeight="1" x14ac:dyDescent="0.2">
      <c r="B14" s="93">
        <f>'Renewables Report'!B51</f>
        <v>0</v>
      </c>
      <c r="C14" s="94">
        <f>'Renewables Report'!C51</f>
        <v>0</v>
      </c>
      <c r="D14" s="95">
        <f>SUM('Renewables Report'!E51:M51)</f>
        <v>0</v>
      </c>
      <c r="E14" s="133"/>
      <c r="F14" s="97" t="str">
        <f t="shared" si="0"/>
        <v/>
      </c>
      <c r="G14" s="203"/>
      <c r="H14" s="204"/>
      <c r="I14" s="205"/>
      <c r="J14" s="133"/>
      <c r="K14" s="97" t="str">
        <f t="shared" si="1"/>
        <v/>
      </c>
      <c r="L14" s="97">
        <f t="shared" si="2"/>
        <v>0</v>
      </c>
    </row>
    <row r="15" spans="2:12" ht="15" customHeight="1" x14ac:dyDescent="0.2">
      <c r="B15" s="93">
        <f>'Renewables Report'!B52</f>
        <v>0</v>
      </c>
      <c r="C15" s="94">
        <f>'Renewables Report'!C52</f>
        <v>0</v>
      </c>
      <c r="D15" s="95">
        <f>SUM('Renewables Report'!E52:M52)</f>
        <v>0</v>
      </c>
      <c r="E15" s="133"/>
      <c r="F15" s="97" t="str">
        <f t="shared" si="0"/>
        <v/>
      </c>
      <c r="G15" s="203"/>
      <c r="H15" s="204"/>
      <c r="I15" s="205"/>
      <c r="J15" s="133"/>
      <c r="K15" s="97" t="str">
        <f t="shared" si="1"/>
        <v/>
      </c>
      <c r="L15" s="97">
        <f t="shared" si="2"/>
        <v>0</v>
      </c>
    </row>
    <row r="16" spans="2:12" ht="15" customHeight="1" x14ac:dyDescent="0.2">
      <c r="B16" s="93">
        <f>'Renewables Report'!B53</f>
        <v>0</v>
      </c>
      <c r="C16" s="94">
        <f>'Renewables Report'!C53</f>
        <v>0</v>
      </c>
      <c r="D16" s="95">
        <f>SUM('Renewables Report'!E53:M53)</f>
        <v>0</v>
      </c>
      <c r="E16" s="133"/>
      <c r="F16" s="97" t="str">
        <f t="shared" si="0"/>
        <v/>
      </c>
      <c r="G16" s="203"/>
      <c r="H16" s="204"/>
      <c r="I16" s="205"/>
      <c r="J16" s="133"/>
      <c r="K16" s="97" t="str">
        <f t="shared" si="1"/>
        <v/>
      </c>
      <c r="L16" s="97">
        <f t="shared" si="2"/>
        <v>0</v>
      </c>
    </row>
    <row r="17" spans="2:12" ht="15" customHeight="1" x14ac:dyDescent="0.2">
      <c r="B17" s="93">
        <f>'Renewables Report'!B54</f>
        <v>0</v>
      </c>
      <c r="C17" s="94">
        <f>'Renewables Report'!C54</f>
        <v>0</v>
      </c>
      <c r="D17" s="95">
        <f>SUM('Renewables Report'!E54:M54)</f>
        <v>0</v>
      </c>
      <c r="E17" s="133"/>
      <c r="F17" s="97" t="str">
        <f t="shared" si="0"/>
        <v/>
      </c>
      <c r="G17" s="203"/>
      <c r="H17" s="204"/>
      <c r="I17" s="205"/>
      <c r="J17" s="133"/>
      <c r="K17" s="97" t="str">
        <f t="shared" si="1"/>
        <v/>
      </c>
      <c r="L17" s="97">
        <f t="shared" si="2"/>
        <v>0</v>
      </c>
    </row>
    <row r="18" spans="2:12" ht="15" customHeight="1" x14ac:dyDescent="0.2">
      <c r="B18" s="93">
        <f>'Renewables Report'!B55</f>
        <v>0</v>
      </c>
      <c r="C18" s="94">
        <f>'Renewables Report'!C55</f>
        <v>0</v>
      </c>
      <c r="D18" s="95">
        <f>SUM('Renewables Report'!E55:M55)</f>
        <v>0</v>
      </c>
      <c r="E18" s="133"/>
      <c r="F18" s="97" t="str">
        <f t="shared" si="0"/>
        <v/>
      </c>
      <c r="G18" s="203"/>
      <c r="H18" s="204"/>
      <c r="I18" s="205"/>
      <c r="J18" s="133"/>
      <c r="K18" s="97" t="str">
        <f t="shared" si="1"/>
        <v/>
      </c>
      <c r="L18" s="97">
        <f t="shared" si="2"/>
        <v>0</v>
      </c>
    </row>
    <row r="19" spans="2:12" ht="15" customHeight="1" x14ac:dyDescent="0.2">
      <c r="B19" s="93">
        <f>'Renewables Report'!B56</f>
        <v>0</v>
      </c>
      <c r="C19" s="94">
        <f>'Renewables Report'!C56</f>
        <v>0</v>
      </c>
      <c r="D19" s="95">
        <f>SUM('Renewables Report'!E56:M56)</f>
        <v>0</v>
      </c>
      <c r="E19" s="133"/>
      <c r="F19" s="97" t="str">
        <f t="shared" si="0"/>
        <v/>
      </c>
      <c r="G19" s="203"/>
      <c r="H19" s="204"/>
      <c r="I19" s="205"/>
      <c r="J19" s="133"/>
      <c r="K19" s="97" t="str">
        <f t="shared" si="1"/>
        <v/>
      </c>
      <c r="L19" s="97">
        <f t="shared" si="2"/>
        <v>0</v>
      </c>
    </row>
    <row r="20" spans="2:12" ht="15" customHeight="1" x14ac:dyDescent="0.2">
      <c r="B20" s="93">
        <f>'Renewables Report'!B57</f>
        <v>0</v>
      </c>
      <c r="C20" s="94">
        <f>'Renewables Report'!C57</f>
        <v>0</v>
      </c>
      <c r="D20" s="95">
        <f>SUM('Renewables Report'!E57:M57)</f>
        <v>0</v>
      </c>
      <c r="E20" s="133"/>
      <c r="F20" s="97" t="str">
        <f t="shared" si="0"/>
        <v/>
      </c>
      <c r="G20" s="203"/>
      <c r="H20" s="204"/>
      <c r="I20" s="205"/>
      <c r="J20" s="133"/>
      <c r="K20" s="97" t="str">
        <f t="shared" si="1"/>
        <v/>
      </c>
      <c r="L20" s="97">
        <f t="shared" si="2"/>
        <v>0</v>
      </c>
    </row>
    <row r="21" spans="2:12" ht="15" customHeight="1" x14ac:dyDescent="0.2">
      <c r="B21" s="93">
        <f>'Renewables Report'!B58</f>
        <v>0</v>
      </c>
      <c r="C21" s="94">
        <f>'Renewables Report'!C58</f>
        <v>0</v>
      </c>
      <c r="D21" s="95">
        <f>SUM('Renewables Report'!E58:M58)</f>
        <v>0</v>
      </c>
      <c r="E21" s="133"/>
      <c r="F21" s="97" t="str">
        <f t="shared" si="0"/>
        <v/>
      </c>
      <c r="G21" s="203"/>
      <c r="H21" s="204"/>
      <c r="I21" s="205"/>
      <c r="J21" s="133"/>
      <c r="K21" s="97" t="str">
        <f t="shared" si="1"/>
        <v/>
      </c>
      <c r="L21" s="97">
        <f t="shared" si="2"/>
        <v>0</v>
      </c>
    </row>
    <row r="22" spans="2:12" ht="15" customHeight="1" x14ac:dyDescent="0.2">
      <c r="B22" s="93">
        <f>'Renewables Report'!B59</f>
        <v>0</v>
      </c>
      <c r="C22" s="94">
        <f>'Renewables Report'!C59</f>
        <v>0</v>
      </c>
      <c r="D22" s="95">
        <f>SUM('Renewables Report'!E59:M59)</f>
        <v>0</v>
      </c>
      <c r="E22" s="133"/>
      <c r="F22" s="97" t="str">
        <f t="shared" si="0"/>
        <v/>
      </c>
      <c r="G22" s="203"/>
      <c r="H22" s="204"/>
      <c r="I22" s="205"/>
      <c r="J22" s="133"/>
      <c r="K22" s="97" t="str">
        <f t="shared" si="1"/>
        <v/>
      </c>
      <c r="L22" s="97">
        <f t="shared" si="2"/>
        <v>0</v>
      </c>
    </row>
    <row r="23" spans="2:12" ht="15" customHeight="1" x14ac:dyDescent="0.2">
      <c r="B23" s="93">
        <f>'Renewables Report'!B60</f>
        <v>0</v>
      </c>
      <c r="C23" s="94">
        <f>'Renewables Report'!C60</f>
        <v>0</v>
      </c>
      <c r="D23" s="95">
        <f>SUM('Renewables Report'!E60:M60)</f>
        <v>0</v>
      </c>
      <c r="E23" s="133"/>
      <c r="F23" s="97" t="str">
        <f t="shared" si="0"/>
        <v/>
      </c>
      <c r="G23" s="203"/>
      <c r="H23" s="204"/>
      <c r="I23" s="205"/>
      <c r="J23" s="133"/>
      <c r="K23" s="97" t="str">
        <f t="shared" si="1"/>
        <v/>
      </c>
      <c r="L23" s="97">
        <f t="shared" si="2"/>
        <v>0</v>
      </c>
    </row>
    <row r="24" spans="2:12" ht="15" customHeight="1" x14ac:dyDescent="0.2">
      <c r="B24" s="93">
        <f>'Renewables Report'!B61</f>
        <v>0</v>
      </c>
      <c r="C24" s="94">
        <f>'Renewables Report'!C61</f>
        <v>0</v>
      </c>
      <c r="D24" s="95">
        <f>SUM('Renewables Report'!E61:M61)</f>
        <v>0</v>
      </c>
      <c r="E24" s="133"/>
      <c r="F24" s="97" t="str">
        <f t="shared" si="0"/>
        <v/>
      </c>
      <c r="G24" s="203"/>
      <c r="H24" s="204"/>
      <c r="I24" s="205"/>
      <c r="J24" s="133"/>
      <c r="K24" s="97" t="str">
        <f t="shared" si="1"/>
        <v/>
      </c>
      <c r="L24" s="97">
        <f t="shared" si="2"/>
        <v>0</v>
      </c>
    </row>
    <row r="25" spans="2:12" ht="15" customHeight="1" x14ac:dyDescent="0.2">
      <c r="B25" s="93">
        <f>'Renewables Report'!B62</f>
        <v>0</v>
      </c>
      <c r="C25" s="94">
        <f>'Renewables Report'!C62</f>
        <v>0</v>
      </c>
      <c r="D25" s="95">
        <f>SUM('Renewables Report'!E62:M62)</f>
        <v>0</v>
      </c>
      <c r="E25" s="133"/>
      <c r="F25" s="97" t="str">
        <f t="shared" si="0"/>
        <v/>
      </c>
      <c r="G25" s="203"/>
      <c r="H25" s="204"/>
      <c r="I25" s="205"/>
      <c r="J25" s="133"/>
      <c r="K25" s="97" t="str">
        <f t="shared" si="1"/>
        <v/>
      </c>
      <c r="L25" s="97">
        <f t="shared" si="2"/>
        <v>0</v>
      </c>
    </row>
    <row r="26" spans="2:12" ht="15" customHeight="1" x14ac:dyDescent="0.2">
      <c r="B26" s="93">
        <f>'Renewables Report'!B63</f>
        <v>0</v>
      </c>
      <c r="C26" s="94">
        <f>'Renewables Report'!C63</f>
        <v>0</v>
      </c>
      <c r="D26" s="95">
        <f>SUM('Renewables Report'!E63:M63)</f>
        <v>0</v>
      </c>
      <c r="E26" s="133"/>
      <c r="F26" s="97" t="str">
        <f t="shared" si="0"/>
        <v/>
      </c>
      <c r="G26" s="203"/>
      <c r="H26" s="204"/>
      <c r="I26" s="205"/>
      <c r="J26" s="133"/>
      <c r="K26" s="97" t="str">
        <f t="shared" si="1"/>
        <v/>
      </c>
      <c r="L26" s="97">
        <f t="shared" si="2"/>
        <v>0</v>
      </c>
    </row>
    <row r="27" spans="2:12" ht="15" customHeight="1" x14ac:dyDescent="0.2">
      <c r="B27" s="98">
        <f>'Renewables Report'!B64</f>
        <v>0</v>
      </c>
      <c r="C27" s="99">
        <f>'Renewables Report'!C64</f>
        <v>0</v>
      </c>
      <c r="D27" s="100">
        <f>SUM('Renewables Report'!E64:M64)</f>
        <v>0</v>
      </c>
      <c r="E27" s="134"/>
      <c r="F27" s="101" t="str">
        <f t="shared" si="0"/>
        <v/>
      </c>
      <c r="G27" s="209"/>
      <c r="H27" s="210"/>
      <c r="I27" s="211"/>
      <c r="J27" s="134"/>
      <c r="K27" s="101" t="str">
        <f t="shared" si="1"/>
        <v/>
      </c>
      <c r="L27" s="101">
        <f t="shared" si="2"/>
        <v>0</v>
      </c>
    </row>
    <row r="28" spans="2:12" ht="15" customHeight="1" x14ac:dyDescent="0.2">
      <c r="B28" s="103" t="s">
        <v>151</v>
      </c>
      <c r="C28" s="103"/>
      <c r="D28" s="105">
        <f>SUM(D7:D27)</f>
        <v>15744</v>
      </c>
      <c r="E28" s="106">
        <f>SUM(E7:E27)</f>
        <v>0</v>
      </c>
      <c r="F28" s="106"/>
      <c r="G28" s="106"/>
      <c r="H28" s="106"/>
      <c r="I28" s="106"/>
      <c r="J28" s="106">
        <f>SUM(J7:J27)</f>
        <v>0</v>
      </c>
      <c r="K28" s="104"/>
      <c r="L28" s="106">
        <f>SUM(L7:L27)</f>
        <v>0</v>
      </c>
    </row>
    <row r="29" spans="2:12" ht="15" customHeight="1" x14ac:dyDescent="0.2">
      <c r="E29" s="7"/>
      <c r="F29" s="7"/>
      <c r="G29" s="7"/>
      <c r="H29" s="7"/>
      <c r="I29" s="7"/>
      <c r="J29" s="7"/>
      <c r="K29" s="7"/>
      <c r="L29" s="7"/>
    </row>
    <row r="30" spans="2:12" ht="17.25" customHeight="1" x14ac:dyDescent="0.25">
      <c r="B30" s="138" t="s">
        <v>167</v>
      </c>
      <c r="C30" s="115"/>
      <c r="D30" s="6"/>
      <c r="E30" s="10" t="s">
        <v>4</v>
      </c>
      <c r="F30" s="182" t="str">
        <f>F3</f>
        <v>Clark Public Utilities</v>
      </c>
      <c r="G30" s="183"/>
      <c r="H30" s="184"/>
    </row>
    <row r="31" spans="2:12" ht="15" customHeight="1" x14ac:dyDescent="0.2">
      <c r="B31" s="115"/>
      <c r="C31" s="115"/>
      <c r="E31" s="10" t="s">
        <v>13</v>
      </c>
      <c r="F31" s="206">
        <v>2015</v>
      </c>
      <c r="G31" s="207"/>
      <c r="H31" s="208"/>
    </row>
    <row r="32" spans="2:12" ht="15" customHeight="1" x14ac:dyDescent="0.2">
      <c r="B32" s="10"/>
      <c r="C32" s="10"/>
      <c r="D32" s="10"/>
      <c r="E32" s="8"/>
      <c r="H32" s="22"/>
      <c r="I32" s="7"/>
    </row>
    <row r="33" spans="1:12" s="11" customFormat="1" x14ac:dyDescent="0.2">
      <c r="B33" s="10"/>
      <c r="C33" s="10"/>
      <c r="D33" s="10"/>
      <c r="E33" s="23"/>
      <c r="F33" s="23"/>
      <c r="G33" s="23"/>
      <c r="H33" s="23"/>
      <c r="I33" s="23"/>
      <c r="J33" s="23"/>
      <c r="K33" s="23"/>
      <c r="L33" s="23"/>
    </row>
    <row r="34" spans="1:12" ht="36" x14ac:dyDescent="0.2">
      <c r="B34" s="49" t="s">
        <v>35</v>
      </c>
      <c r="C34" s="31" t="s">
        <v>54</v>
      </c>
      <c r="D34" s="49" t="s">
        <v>55</v>
      </c>
      <c r="E34" s="139" t="s">
        <v>193</v>
      </c>
      <c r="F34" s="102" t="s">
        <v>194</v>
      </c>
      <c r="G34" s="102" t="s">
        <v>195</v>
      </c>
    </row>
    <row r="35" spans="1:12" ht="15" customHeight="1" x14ac:dyDescent="0.2">
      <c r="A35" s="7"/>
      <c r="B35" s="90" t="str">
        <f>'Renewables Report'!B72</f>
        <v>Combine Hills II Wind Project</v>
      </c>
      <c r="C35" s="91" t="str">
        <f>'Renewables Report'!C72</f>
        <v>W1379</v>
      </c>
      <c r="D35" s="92">
        <f>'Renewables Report'!D72</f>
        <v>2015</v>
      </c>
      <c r="E35" s="92">
        <f>MAX('Renewables Report'!$E72:$M72)</f>
        <v>144149</v>
      </c>
      <c r="F35" s="132">
        <v>12573232</v>
      </c>
      <c r="G35" s="142">
        <v>87.22</v>
      </c>
    </row>
    <row r="36" spans="1:12" ht="15" customHeight="1" x14ac:dyDescent="0.2">
      <c r="A36" s="7"/>
      <c r="B36" s="93">
        <f>'Renewables Report'!B73</f>
        <v>0</v>
      </c>
      <c r="C36" s="94">
        <f>'Renewables Report'!C73</f>
        <v>0</v>
      </c>
      <c r="D36" s="95">
        <f>'Renewables Report'!D73</f>
        <v>0</v>
      </c>
      <c r="E36" s="95">
        <f>MAX('Renewables Report'!$E73:$M73)</f>
        <v>0</v>
      </c>
      <c r="F36" s="133"/>
      <c r="G36" s="141" t="str">
        <f t="shared" ref="G36:G59" si="3">IF(E36&gt;0,F36/E36,"")</f>
        <v/>
      </c>
    </row>
    <row r="37" spans="1:12" ht="15" customHeight="1" x14ac:dyDescent="0.2">
      <c r="A37" s="7"/>
      <c r="B37" s="93">
        <f>'Renewables Report'!B74</f>
        <v>0</v>
      </c>
      <c r="C37" s="94">
        <f>'Renewables Report'!C74</f>
        <v>0</v>
      </c>
      <c r="D37" s="95">
        <f>'Renewables Report'!D74</f>
        <v>0</v>
      </c>
      <c r="E37" s="95">
        <f>MAX('Renewables Report'!$E74:$M74)</f>
        <v>0</v>
      </c>
      <c r="F37" s="133"/>
      <c r="G37" s="141" t="str">
        <f t="shared" si="3"/>
        <v/>
      </c>
    </row>
    <row r="38" spans="1:12" ht="15" customHeight="1" x14ac:dyDescent="0.2">
      <c r="A38" s="7"/>
      <c r="B38" s="93">
        <f>'Renewables Report'!B75</f>
        <v>0</v>
      </c>
      <c r="C38" s="94">
        <f>'Renewables Report'!C75</f>
        <v>0</v>
      </c>
      <c r="D38" s="95">
        <f>'Renewables Report'!D75</f>
        <v>0</v>
      </c>
      <c r="E38" s="95">
        <f>MAX('Renewables Report'!$E75:$M75)</f>
        <v>0</v>
      </c>
      <c r="F38" s="133"/>
      <c r="G38" s="141" t="str">
        <f t="shared" si="3"/>
        <v/>
      </c>
    </row>
    <row r="39" spans="1:12" ht="15" customHeight="1" x14ac:dyDescent="0.2">
      <c r="A39" s="7"/>
      <c r="B39" s="93">
        <f>'Renewables Report'!B76</f>
        <v>0</v>
      </c>
      <c r="C39" s="94">
        <f>'Renewables Report'!C76</f>
        <v>0</v>
      </c>
      <c r="D39" s="95">
        <f>'Renewables Report'!D76</f>
        <v>0</v>
      </c>
      <c r="E39" s="95">
        <f>MAX('Renewables Report'!$E76:$M76)</f>
        <v>0</v>
      </c>
      <c r="F39" s="133"/>
      <c r="G39" s="141" t="str">
        <f t="shared" si="3"/>
        <v/>
      </c>
    </row>
    <row r="40" spans="1:12" ht="15" customHeight="1" x14ac:dyDescent="0.2">
      <c r="A40" s="7"/>
      <c r="B40" s="93">
        <f>'Renewables Report'!B77</f>
        <v>0</v>
      </c>
      <c r="C40" s="94">
        <f>'Renewables Report'!C77</f>
        <v>0</v>
      </c>
      <c r="D40" s="95">
        <f>'Renewables Report'!D77</f>
        <v>0</v>
      </c>
      <c r="E40" s="95">
        <f>MAX('Renewables Report'!$E77:$M77)</f>
        <v>0</v>
      </c>
      <c r="F40" s="133"/>
      <c r="G40" s="141" t="str">
        <f t="shared" si="3"/>
        <v/>
      </c>
    </row>
    <row r="41" spans="1:12" ht="15" customHeight="1" x14ac:dyDescent="0.2">
      <c r="A41" s="7"/>
      <c r="B41" s="93">
        <f>'Renewables Report'!B78</f>
        <v>0</v>
      </c>
      <c r="C41" s="94">
        <f>'Renewables Report'!C78</f>
        <v>0</v>
      </c>
      <c r="D41" s="95">
        <f>'Renewables Report'!D78</f>
        <v>0</v>
      </c>
      <c r="E41" s="95">
        <f>MAX('Renewables Report'!$E78:$M78)</f>
        <v>0</v>
      </c>
      <c r="F41" s="133"/>
      <c r="G41" s="141" t="str">
        <f t="shared" si="3"/>
        <v/>
      </c>
    </row>
    <row r="42" spans="1:12" ht="15" customHeight="1" x14ac:dyDescent="0.2">
      <c r="B42" s="93">
        <f>'Renewables Report'!B79</f>
        <v>0</v>
      </c>
      <c r="C42" s="94">
        <f>'Renewables Report'!C79</f>
        <v>0</v>
      </c>
      <c r="D42" s="95">
        <f>'Renewables Report'!D79</f>
        <v>0</v>
      </c>
      <c r="E42" s="95">
        <f>MAX('Renewables Report'!$E79:$M79)</f>
        <v>0</v>
      </c>
      <c r="F42" s="133"/>
      <c r="G42" s="141" t="str">
        <f t="shared" si="3"/>
        <v/>
      </c>
    </row>
    <row r="43" spans="1:12" ht="15" customHeight="1" x14ac:dyDescent="0.2">
      <c r="B43" s="93">
        <f>'Renewables Report'!B80</f>
        <v>0</v>
      </c>
      <c r="C43" s="94">
        <f>'Renewables Report'!C80</f>
        <v>0</v>
      </c>
      <c r="D43" s="95">
        <f>'Renewables Report'!D80</f>
        <v>0</v>
      </c>
      <c r="E43" s="95">
        <f>MAX('Renewables Report'!$E80:$M80)</f>
        <v>0</v>
      </c>
      <c r="F43" s="133"/>
      <c r="G43" s="141" t="str">
        <f t="shared" si="3"/>
        <v/>
      </c>
    </row>
    <row r="44" spans="1:12" ht="15" customHeight="1" x14ac:dyDescent="0.2">
      <c r="B44" s="93">
        <f>'Renewables Report'!B81</f>
        <v>0</v>
      </c>
      <c r="C44" s="94">
        <f>'Renewables Report'!C81</f>
        <v>0</v>
      </c>
      <c r="D44" s="95">
        <f>'Renewables Report'!D81</f>
        <v>0</v>
      </c>
      <c r="E44" s="95">
        <f>MAX('Renewables Report'!$E81:$M81)</f>
        <v>0</v>
      </c>
      <c r="F44" s="133"/>
      <c r="G44" s="141" t="str">
        <f t="shared" si="3"/>
        <v/>
      </c>
    </row>
    <row r="45" spans="1:12" ht="15" customHeight="1" x14ac:dyDescent="0.2">
      <c r="B45" s="93">
        <f>'Renewables Report'!B82</f>
        <v>0</v>
      </c>
      <c r="C45" s="94">
        <f>'Renewables Report'!C82</f>
        <v>0</v>
      </c>
      <c r="D45" s="95">
        <f>'Renewables Report'!D82</f>
        <v>0</v>
      </c>
      <c r="E45" s="95">
        <f>MAX('Renewables Report'!$E82:$M82)</f>
        <v>0</v>
      </c>
      <c r="F45" s="133"/>
      <c r="G45" s="141" t="str">
        <f t="shared" si="3"/>
        <v/>
      </c>
    </row>
    <row r="46" spans="1:12" ht="15" customHeight="1" x14ac:dyDescent="0.2">
      <c r="B46" s="93">
        <f>'Renewables Report'!B83</f>
        <v>0</v>
      </c>
      <c r="C46" s="94">
        <f>'Renewables Report'!C83</f>
        <v>0</v>
      </c>
      <c r="D46" s="95">
        <f>'Renewables Report'!D83</f>
        <v>0</v>
      </c>
      <c r="E46" s="95">
        <f>MAX('Renewables Report'!$E83:$M83)</f>
        <v>0</v>
      </c>
      <c r="F46" s="133"/>
      <c r="G46" s="141" t="str">
        <f t="shared" si="3"/>
        <v/>
      </c>
    </row>
    <row r="47" spans="1:12" ht="15" customHeight="1" x14ac:dyDescent="0.2">
      <c r="B47" s="93">
        <f>'Renewables Report'!B84</f>
        <v>0</v>
      </c>
      <c r="C47" s="94">
        <f>'Renewables Report'!C84</f>
        <v>0</v>
      </c>
      <c r="D47" s="95">
        <f>'Renewables Report'!D84</f>
        <v>0</v>
      </c>
      <c r="E47" s="95">
        <f>MAX('Renewables Report'!$E84:$M84)</f>
        <v>0</v>
      </c>
      <c r="F47" s="133"/>
      <c r="G47" s="141" t="str">
        <f t="shared" si="3"/>
        <v/>
      </c>
    </row>
    <row r="48" spans="1:12" ht="15" customHeight="1" x14ac:dyDescent="0.2">
      <c r="B48" s="93">
        <f>'Renewables Report'!B85</f>
        <v>0</v>
      </c>
      <c r="C48" s="94">
        <f>'Renewables Report'!C85</f>
        <v>0</v>
      </c>
      <c r="D48" s="95">
        <f>'Renewables Report'!D85</f>
        <v>0</v>
      </c>
      <c r="E48" s="95">
        <f>MAX('Renewables Report'!$E85:$M85)</f>
        <v>0</v>
      </c>
      <c r="F48" s="133"/>
      <c r="G48" s="141" t="str">
        <f t="shared" si="3"/>
        <v/>
      </c>
    </row>
    <row r="49" spans="2:12" ht="15" customHeight="1" x14ac:dyDescent="0.2">
      <c r="B49" s="93">
        <f>'Renewables Report'!B86</f>
        <v>0</v>
      </c>
      <c r="C49" s="94">
        <f>'Renewables Report'!C86</f>
        <v>0</v>
      </c>
      <c r="D49" s="95">
        <f>'Renewables Report'!D86</f>
        <v>0</v>
      </c>
      <c r="E49" s="95">
        <f>MAX('Renewables Report'!$E86:$M86)</f>
        <v>0</v>
      </c>
      <c r="F49" s="133"/>
      <c r="G49" s="141" t="str">
        <f t="shared" si="3"/>
        <v/>
      </c>
    </row>
    <row r="50" spans="2:12" ht="15" customHeight="1" x14ac:dyDescent="0.2">
      <c r="B50" s="93">
        <f>'Renewables Report'!B87</f>
        <v>0</v>
      </c>
      <c r="C50" s="94">
        <f>'Renewables Report'!C87</f>
        <v>0</v>
      </c>
      <c r="D50" s="95">
        <f>'Renewables Report'!D87</f>
        <v>0</v>
      </c>
      <c r="E50" s="95">
        <f>MAX('Renewables Report'!$E87:$M87)</f>
        <v>0</v>
      </c>
      <c r="F50" s="133"/>
      <c r="G50" s="141" t="str">
        <f t="shared" si="3"/>
        <v/>
      </c>
    </row>
    <row r="51" spans="2:12" ht="15" customHeight="1" x14ac:dyDescent="0.2">
      <c r="B51" s="93">
        <f>'Renewables Report'!B88</f>
        <v>0</v>
      </c>
      <c r="C51" s="94">
        <f>'Renewables Report'!C88</f>
        <v>0</v>
      </c>
      <c r="D51" s="95">
        <f>'Renewables Report'!D88</f>
        <v>0</v>
      </c>
      <c r="E51" s="95">
        <f>MAX('Renewables Report'!$E88:$M88)</f>
        <v>0</v>
      </c>
      <c r="F51" s="133"/>
      <c r="G51" s="141" t="str">
        <f t="shared" si="3"/>
        <v/>
      </c>
    </row>
    <row r="52" spans="2:12" ht="15" customHeight="1" x14ac:dyDescent="0.2">
      <c r="B52" s="93">
        <f>'Renewables Report'!B89</f>
        <v>0</v>
      </c>
      <c r="C52" s="94">
        <f>'Renewables Report'!C89</f>
        <v>0</v>
      </c>
      <c r="D52" s="95">
        <f>'Renewables Report'!D89</f>
        <v>0</v>
      </c>
      <c r="E52" s="95">
        <f>MAX('Renewables Report'!$E89:$M89)</f>
        <v>0</v>
      </c>
      <c r="F52" s="133"/>
      <c r="G52" s="141" t="str">
        <f t="shared" si="3"/>
        <v/>
      </c>
    </row>
    <row r="53" spans="2:12" ht="15" customHeight="1" x14ac:dyDescent="0.2">
      <c r="B53" s="93">
        <f>'Renewables Report'!B90</f>
        <v>0</v>
      </c>
      <c r="C53" s="94">
        <f>'Renewables Report'!C90</f>
        <v>0</v>
      </c>
      <c r="D53" s="95">
        <f>'Renewables Report'!D90</f>
        <v>0</v>
      </c>
      <c r="E53" s="95">
        <f>MAX('Renewables Report'!$E90:$M90)</f>
        <v>0</v>
      </c>
      <c r="F53" s="133"/>
      <c r="G53" s="141" t="str">
        <f t="shared" si="3"/>
        <v/>
      </c>
    </row>
    <row r="54" spans="2:12" ht="15" customHeight="1" x14ac:dyDescent="0.2">
      <c r="B54" s="93">
        <f>'Renewables Report'!B91</f>
        <v>0</v>
      </c>
      <c r="C54" s="94">
        <f>'Renewables Report'!C91</f>
        <v>0</v>
      </c>
      <c r="D54" s="95">
        <f>'Renewables Report'!D91</f>
        <v>0</v>
      </c>
      <c r="E54" s="95">
        <f>MAX('Renewables Report'!$E91:$M91)</f>
        <v>0</v>
      </c>
      <c r="F54" s="133"/>
      <c r="G54" s="141" t="str">
        <f t="shared" si="3"/>
        <v/>
      </c>
    </row>
    <row r="55" spans="2:12" ht="15" customHeight="1" x14ac:dyDescent="0.2">
      <c r="B55" s="93">
        <f>'Renewables Report'!B92</f>
        <v>0</v>
      </c>
      <c r="C55" s="94">
        <f>'Renewables Report'!C92</f>
        <v>0</v>
      </c>
      <c r="D55" s="95">
        <f>'Renewables Report'!D92</f>
        <v>0</v>
      </c>
      <c r="E55" s="95">
        <f>MAX('Renewables Report'!$E92:$M92)</f>
        <v>0</v>
      </c>
      <c r="F55" s="133"/>
      <c r="G55" s="141" t="str">
        <f t="shared" si="3"/>
        <v/>
      </c>
    </row>
    <row r="56" spans="2:12" ht="15" customHeight="1" x14ac:dyDescent="0.2">
      <c r="B56" s="93">
        <f>'Renewables Report'!B93</f>
        <v>0</v>
      </c>
      <c r="C56" s="94">
        <f>'Renewables Report'!C93</f>
        <v>0</v>
      </c>
      <c r="D56" s="95">
        <f>'Renewables Report'!D93</f>
        <v>0</v>
      </c>
      <c r="E56" s="95">
        <f>MAX('Renewables Report'!$E93:$M93)</f>
        <v>0</v>
      </c>
      <c r="F56" s="133"/>
      <c r="G56" s="141" t="str">
        <f t="shared" si="3"/>
        <v/>
      </c>
    </row>
    <row r="57" spans="2:12" ht="15" customHeight="1" x14ac:dyDescent="0.2">
      <c r="B57" s="93">
        <f>'Renewables Report'!B94</f>
        <v>0</v>
      </c>
      <c r="C57" s="94">
        <f>'Renewables Report'!C94</f>
        <v>0</v>
      </c>
      <c r="D57" s="95">
        <f>'Renewables Report'!D94</f>
        <v>0</v>
      </c>
      <c r="E57" s="95">
        <f>MAX('Renewables Report'!$E94:$M94)</f>
        <v>0</v>
      </c>
      <c r="F57" s="133"/>
      <c r="G57" s="141" t="str">
        <f t="shared" si="3"/>
        <v/>
      </c>
    </row>
    <row r="58" spans="2:12" ht="15" customHeight="1" x14ac:dyDescent="0.2">
      <c r="B58" s="93">
        <f>'Renewables Report'!B95</f>
        <v>0</v>
      </c>
      <c r="C58" s="94">
        <f>'Renewables Report'!C95</f>
        <v>0</v>
      </c>
      <c r="D58" s="95">
        <f>'Renewables Report'!D95</f>
        <v>0</v>
      </c>
      <c r="E58" s="95">
        <f>MAX('Renewables Report'!$E95:$M95)</f>
        <v>0</v>
      </c>
      <c r="F58" s="133"/>
      <c r="G58" s="141" t="str">
        <f t="shared" si="3"/>
        <v/>
      </c>
    </row>
    <row r="59" spans="2:12" ht="15" customHeight="1" x14ac:dyDescent="0.2">
      <c r="B59" s="98">
        <f>'Renewables Report'!B96</f>
        <v>0</v>
      </c>
      <c r="C59" s="99">
        <f>'Renewables Report'!C96</f>
        <v>0</v>
      </c>
      <c r="D59" s="100">
        <f>'Renewables Report'!D96</f>
        <v>0</v>
      </c>
      <c r="E59" s="100">
        <f>MAX('Renewables Report'!$E96:$M96)</f>
        <v>0</v>
      </c>
      <c r="F59" s="135"/>
      <c r="G59" s="143" t="str">
        <f t="shared" si="3"/>
        <v/>
      </c>
    </row>
    <row r="60" spans="2:12" ht="15" customHeight="1" x14ac:dyDescent="0.2">
      <c r="B60" s="103" t="s">
        <v>6</v>
      </c>
      <c r="C60" s="108"/>
      <c r="D60" s="108"/>
      <c r="E60" s="140"/>
      <c r="F60" s="106">
        <f>SUM(F35:F59)</f>
        <v>12573232</v>
      </c>
      <c r="G60" s="140"/>
    </row>
    <row r="61" spans="2:12" ht="15" customHeight="1" x14ac:dyDescent="0.2">
      <c r="B61" s="11"/>
      <c r="C61" s="11"/>
      <c r="D61" s="11"/>
      <c r="E61" s="10"/>
    </row>
    <row r="62" spans="2:12" ht="15" customHeight="1" x14ac:dyDescent="0.2">
      <c r="E62" s="10"/>
    </row>
    <row r="63" spans="2:12" ht="15" customHeight="1" x14ac:dyDescent="0.2">
      <c r="B63" s="11" t="s">
        <v>164</v>
      </c>
      <c r="C63" s="11"/>
      <c r="D63" s="11"/>
      <c r="E63" s="10"/>
      <c r="F63" s="84"/>
    </row>
    <row r="64" spans="2:12" ht="15" customHeight="1" x14ac:dyDescent="0.2">
      <c r="B64" s="83"/>
      <c r="C64" s="83"/>
      <c r="D64" s="83"/>
      <c r="E64" s="83"/>
      <c r="F64" s="83"/>
      <c r="G64" s="83"/>
      <c r="H64" s="83"/>
      <c r="I64" s="83"/>
      <c r="J64" s="83"/>
      <c r="K64" s="83"/>
      <c r="L64" s="83"/>
    </row>
    <row r="65" spans="2:12" ht="15" customHeight="1" x14ac:dyDescent="0.2">
      <c r="B65" s="83"/>
      <c r="C65" s="83"/>
      <c r="D65" s="83"/>
      <c r="E65" s="83"/>
      <c r="F65" s="83"/>
      <c r="G65" s="83"/>
      <c r="H65" s="83"/>
      <c r="I65" s="83"/>
      <c r="J65" s="83"/>
      <c r="K65" s="83"/>
      <c r="L65" s="83"/>
    </row>
    <row r="66" spans="2:12" s="7" customFormat="1" ht="15" customHeight="1" x14ac:dyDescent="0.2">
      <c r="B66" s="83"/>
      <c r="C66" s="83"/>
      <c r="D66" s="83"/>
      <c r="E66" s="83"/>
      <c r="F66" s="83"/>
      <c r="G66" s="83"/>
      <c r="H66" s="83"/>
      <c r="I66" s="83"/>
      <c r="J66" s="83"/>
      <c r="K66" s="83"/>
      <c r="L66" s="83"/>
    </row>
    <row r="67" spans="2:12" s="7" customFormat="1" ht="15" customHeight="1" x14ac:dyDescent="0.2">
      <c r="B67" s="83"/>
      <c r="C67" s="83"/>
      <c r="D67" s="83"/>
      <c r="E67" s="83"/>
      <c r="F67" s="83"/>
      <c r="G67" s="83"/>
      <c r="H67" s="83"/>
      <c r="I67" s="83"/>
      <c r="J67" s="83"/>
      <c r="K67" s="83"/>
      <c r="L67" s="83"/>
    </row>
    <row r="68" spans="2:12" s="7" customFormat="1" x14ac:dyDescent="0.2">
      <c r="B68" s="83"/>
      <c r="C68" s="83"/>
      <c r="D68" s="83"/>
      <c r="E68" s="83"/>
      <c r="F68" s="83"/>
      <c r="G68" s="83"/>
      <c r="H68" s="83"/>
      <c r="I68" s="83"/>
      <c r="J68" s="83"/>
      <c r="K68" s="83"/>
      <c r="L68" s="83"/>
    </row>
    <row r="69" spans="2:12" s="7" customFormat="1" x14ac:dyDescent="0.2">
      <c r="B69" s="83"/>
      <c r="C69" s="83"/>
      <c r="D69" s="83"/>
      <c r="E69" s="83"/>
      <c r="F69" s="83"/>
      <c r="G69" s="83"/>
      <c r="H69" s="83"/>
      <c r="I69" s="83"/>
      <c r="J69" s="83"/>
      <c r="K69" s="83"/>
      <c r="L69" s="83"/>
    </row>
    <row r="70" spans="2:12" s="7" customFormat="1" x14ac:dyDescent="0.2">
      <c r="B70" s="83"/>
      <c r="C70" s="83"/>
      <c r="D70" s="83"/>
      <c r="E70" s="83"/>
      <c r="F70" s="83"/>
      <c r="G70" s="83"/>
      <c r="H70" s="83"/>
      <c r="I70" s="83"/>
      <c r="J70" s="83"/>
      <c r="K70" s="83"/>
      <c r="L70" s="83"/>
    </row>
    <row r="71" spans="2:12" x14ac:dyDescent="0.2">
      <c r="B71" s="83"/>
      <c r="C71" s="83"/>
      <c r="D71" s="83"/>
      <c r="E71" s="83"/>
      <c r="F71" s="83"/>
      <c r="G71" s="83"/>
      <c r="H71" s="83"/>
      <c r="I71" s="83"/>
      <c r="J71" s="83"/>
      <c r="K71" s="83"/>
      <c r="L71" s="83"/>
    </row>
    <row r="72" spans="2:12" x14ac:dyDescent="0.2">
      <c r="B72" s="83"/>
      <c r="C72" s="83"/>
      <c r="D72" s="83"/>
      <c r="E72" s="83"/>
      <c r="F72" s="83"/>
      <c r="G72" s="83"/>
      <c r="H72" s="83"/>
      <c r="I72" s="83"/>
      <c r="J72" s="83"/>
      <c r="K72" s="83"/>
      <c r="L72" s="83"/>
    </row>
    <row r="73" spans="2:12" x14ac:dyDescent="0.2">
      <c r="B73" s="83"/>
      <c r="C73" s="83"/>
      <c r="D73" s="83"/>
      <c r="E73" s="83"/>
      <c r="F73" s="83"/>
      <c r="G73" s="83"/>
      <c r="H73" s="83"/>
      <c r="I73" s="83"/>
      <c r="J73" s="83"/>
      <c r="K73" s="83"/>
      <c r="L73" s="83"/>
    </row>
    <row r="74" spans="2:12" x14ac:dyDescent="0.2">
      <c r="B74" s="83"/>
      <c r="C74" s="83"/>
      <c r="D74" s="83"/>
      <c r="E74" s="83"/>
      <c r="F74" s="83"/>
      <c r="G74" s="83"/>
      <c r="H74" s="83"/>
      <c r="I74" s="83"/>
      <c r="J74" s="83"/>
      <c r="K74" s="83"/>
      <c r="L74" s="83"/>
    </row>
    <row r="75" spans="2:12" x14ac:dyDescent="0.2">
      <c r="B75" s="83"/>
      <c r="C75" s="83"/>
      <c r="D75" s="83"/>
      <c r="E75" s="83"/>
      <c r="F75" s="83"/>
      <c r="G75" s="83"/>
      <c r="H75" s="83"/>
      <c r="I75" s="83"/>
      <c r="J75" s="83"/>
      <c r="K75" s="83"/>
      <c r="L75" s="83"/>
    </row>
    <row r="76" spans="2:12" x14ac:dyDescent="0.2">
      <c r="B76" s="83"/>
      <c r="C76" s="83"/>
      <c r="D76" s="83"/>
      <c r="E76" s="83"/>
      <c r="F76" s="83"/>
      <c r="G76" s="83"/>
      <c r="H76" s="83"/>
      <c r="I76" s="83"/>
      <c r="J76" s="83"/>
      <c r="K76" s="83"/>
      <c r="L76" s="83"/>
    </row>
    <row r="77" spans="2:12" x14ac:dyDescent="0.2">
      <c r="B77" s="83"/>
      <c r="C77" s="83"/>
      <c r="D77" s="83"/>
      <c r="E77" s="83"/>
      <c r="F77" s="83"/>
      <c r="G77" s="83"/>
      <c r="H77" s="83"/>
      <c r="I77" s="83"/>
      <c r="J77" s="83"/>
      <c r="K77" s="83"/>
      <c r="L77" s="83"/>
    </row>
  </sheetData>
  <mergeCells count="26">
    <mergeCell ref="G20:I20"/>
    <mergeCell ref="F30:H30"/>
    <mergeCell ref="F31:H31"/>
    <mergeCell ref="F3:H3"/>
    <mergeCell ref="F4:H4"/>
    <mergeCell ref="G21:I21"/>
    <mergeCell ref="G22:I22"/>
    <mergeCell ref="G23:I23"/>
    <mergeCell ref="G24:I24"/>
    <mergeCell ref="G25:I25"/>
    <mergeCell ref="G26:I26"/>
    <mergeCell ref="G27:I27"/>
    <mergeCell ref="G6:I6"/>
    <mergeCell ref="G7:I7"/>
    <mergeCell ref="G8:I8"/>
    <mergeCell ref="G9:I9"/>
    <mergeCell ref="G10:I10"/>
    <mergeCell ref="G11:I11"/>
    <mergeCell ref="G12:I12"/>
    <mergeCell ref="G13:I13"/>
    <mergeCell ref="G14:I14"/>
    <mergeCell ref="G15:I15"/>
    <mergeCell ref="G16:I16"/>
    <mergeCell ref="G17:I17"/>
    <mergeCell ref="G18:I18"/>
    <mergeCell ref="G19:I19"/>
  </mergeCells>
  <pageMargins left="0.7" right="0.7" top="0.75" bottom="0.75" header="0.3" footer="0.3"/>
  <pageSetup scale="79" fitToHeight="0" orientation="landscape" r:id="rId1"/>
  <rowBreaks count="1" manualBreakCount="1">
    <brk id="28" min="1" max="1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2"/>
  <sheetViews>
    <sheetView tabSelected="1" workbookViewId="0">
      <selection activeCell="H21" sqref="H21"/>
    </sheetView>
  </sheetViews>
  <sheetFormatPr defaultRowHeight="15" x14ac:dyDescent="0.25"/>
  <cols>
    <col min="1" max="1" width="36.140625" bestFit="1" customWidth="1"/>
  </cols>
  <sheetData>
    <row r="1" spans="1:83" x14ac:dyDescent="0.25">
      <c r="B1" t="s">
        <v>125</v>
      </c>
      <c r="C1" t="s">
        <v>126</v>
      </c>
      <c r="D1" t="s">
        <v>127</v>
      </c>
      <c r="E1" t="s">
        <v>128</v>
      </c>
      <c r="F1" t="s">
        <v>129</v>
      </c>
      <c r="G1" t="s">
        <v>130</v>
      </c>
      <c r="H1" t="s">
        <v>131</v>
      </c>
      <c r="I1" t="s">
        <v>132</v>
      </c>
      <c r="J1" t="s">
        <v>133</v>
      </c>
      <c r="K1" t="s">
        <v>134</v>
      </c>
      <c r="L1" t="s">
        <v>170</v>
      </c>
      <c r="M1" t="s">
        <v>171</v>
      </c>
      <c r="N1" t="s">
        <v>135</v>
      </c>
      <c r="O1" t="s">
        <v>136</v>
      </c>
      <c r="P1" t="s">
        <v>137</v>
      </c>
      <c r="Q1" t="s">
        <v>138</v>
      </c>
      <c r="R1" t="s">
        <v>139</v>
      </c>
      <c r="S1" t="s">
        <v>140</v>
      </c>
      <c r="T1" t="s">
        <v>141</v>
      </c>
      <c r="U1" t="s">
        <v>142</v>
      </c>
      <c r="V1" t="s">
        <v>143</v>
      </c>
      <c r="W1" t="s">
        <v>144</v>
      </c>
      <c r="X1" t="s">
        <v>67</v>
      </c>
      <c r="Y1" t="s">
        <v>68</v>
      </c>
      <c r="Z1" t="s">
        <v>69</v>
      </c>
      <c r="AA1" t="s">
        <v>76</v>
      </c>
      <c r="AB1" t="s">
        <v>70</v>
      </c>
      <c r="AC1" t="s">
        <v>77</v>
      </c>
      <c r="AD1" t="s">
        <v>71</v>
      </c>
      <c r="AE1" t="s">
        <v>72</v>
      </c>
      <c r="AF1" t="s">
        <v>73</v>
      </c>
      <c r="AG1" t="s">
        <v>78</v>
      </c>
      <c r="AH1" t="s">
        <v>79</v>
      </c>
      <c r="AI1" t="s">
        <v>80</v>
      </c>
      <c r="AJ1" t="s">
        <v>81</v>
      </c>
      <c r="AK1" t="s">
        <v>82</v>
      </c>
      <c r="AL1" t="s">
        <v>83</v>
      </c>
      <c r="AM1" t="s">
        <v>84</v>
      </c>
      <c r="AN1" t="s">
        <v>85</v>
      </c>
      <c r="AO1" t="s">
        <v>86</v>
      </c>
      <c r="AP1" t="s">
        <v>87</v>
      </c>
      <c r="AQ1" t="s">
        <v>172</v>
      </c>
      <c r="AR1" t="s">
        <v>173</v>
      </c>
      <c r="AS1" t="s">
        <v>89</v>
      </c>
      <c r="AT1" t="s">
        <v>174</v>
      </c>
      <c r="AU1" t="s">
        <v>90</v>
      </c>
      <c r="AV1" t="s">
        <v>91</v>
      </c>
      <c r="AW1" t="s">
        <v>92</v>
      </c>
      <c r="AX1" t="s">
        <v>93</v>
      </c>
      <c r="AY1" t="s">
        <v>94</v>
      </c>
      <c r="AZ1" t="s">
        <v>95</v>
      </c>
      <c r="BA1" t="s">
        <v>96</v>
      </c>
      <c r="BB1" t="s">
        <v>97</v>
      </c>
      <c r="BC1" t="s">
        <v>98</v>
      </c>
      <c r="BD1" t="s">
        <v>99</v>
      </c>
      <c r="BE1" t="s">
        <v>176</v>
      </c>
      <c r="BF1" t="s">
        <v>74</v>
      </c>
      <c r="BG1" t="s">
        <v>175</v>
      </c>
      <c r="BH1" t="s">
        <v>75</v>
      </c>
      <c r="BI1" t="s">
        <v>82</v>
      </c>
      <c r="BJ1" t="s">
        <v>83</v>
      </c>
      <c r="BK1" t="s">
        <v>84</v>
      </c>
      <c r="BL1" t="s">
        <v>85</v>
      </c>
      <c r="BM1" t="s">
        <v>86</v>
      </c>
      <c r="BN1" t="s">
        <v>87</v>
      </c>
      <c r="BO1" t="s">
        <v>102</v>
      </c>
      <c r="BP1" t="s">
        <v>103</v>
      </c>
      <c r="BQ1" t="s">
        <v>88</v>
      </c>
      <c r="BR1" t="s">
        <v>89</v>
      </c>
      <c r="BS1" t="s">
        <v>90</v>
      </c>
      <c r="BT1" t="s">
        <v>91</v>
      </c>
      <c r="BU1" t="s">
        <v>92</v>
      </c>
      <c r="BV1" t="s">
        <v>93</v>
      </c>
      <c r="BW1" t="s">
        <v>94</v>
      </c>
      <c r="BX1" t="s">
        <v>95</v>
      </c>
      <c r="BY1" t="s">
        <v>96</v>
      </c>
      <c r="BZ1" t="s">
        <v>97</v>
      </c>
      <c r="CA1" t="s">
        <v>98</v>
      </c>
      <c r="CB1" t="s">
        <v>99</v>
      </c>
      <c r="CC1" t="s">
        <v>74</v>
      </c>
      <c r="CD1" t="s">
        <v>105</v>
      </c>
      <c r="CE1" t="s">
        <v>75</v>
      </c>
    </row>
    <row r="2" spans="1:83" x14ac:dyDescent="0.25">
      <c r="A2" t="str">
        <f>REN_Utility_Name</f>
        <v>Clark Public Utilities</v>
      </c>
      <c r="B2">
        <f>CON_2014_Agriculture_Expend</f>
        <v>0</v>
      </c>
      <c r="C2">
        <f>CON_2014_Agriculture_MWH</f>
        <v>0</v>
      </c>
      <c r="D2">
        <f>CON_2014_Commercial_Expend</f>
        <v>1309917.51</v>
      </c>
      <c r="E2">
        <f>CON_2014_Commercial_MWH</f>
        <v>8372</v>
      </c>
      <c r="F2">
        <f>CON_2014_Distribution_Expend</f>
        <v>0</v>
      </c>
      <c r="G2">
        <f>CON_2014_Distribution_MWH</f>
        <v>0</v>
      </c>
      <c r="H2">
        <f>CON_2014_Expenditures</f>
        <v>7163156.2700000005</v>
      </c>
      <c r="I2">
        <f>CON_2014_Industrial_Expend</f>
        <v>2418034.91</v>
      </c>
      <c r="J2">
        <f>CON_2014_Industrial_MWH</f>
        <v>23436</v>
      </c>
      <c r="K2">
        <f>CON_2014_MWH</f>
        <v>66716.38</v>
      </c>
      <c r="L2">
        <f>CON_2014_NEEA_Expend</f>
        <v>561280</v>
      </c>
      <c r="M2">
        <f>CON_2014_NEEA_MWH</f>
        <v>18133</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0</v>
      </c>
      <c r="U2">
        <f>CON_2014_Program2_Expend</f>
        <v>0</v>
      </c>
      <c r="V2">
        <f>CON_2014_Residential_Expend</f>
        <v>2873923.85</v>
      </c>
      <c r="W2">
        <f>CON_2014_Residential_MWH</f>
        <v>16775.38</v>
      </c>
      <c r="X2" t="e">
        <f>CON_Contact_Name</f>
        <v>#VALUE!</v>
      </c>
      <c r="Y2" t="e">
        <f>CON_Email</f>
        <v>#VALUE!</v>
      </c>
      <c r="Z2" t="e">
        <f>CON_Phone</f>
        <v>#VALUE!</v>
      </c>
      <c r="AA2">
        <f>CON_Potential_2014_2023</f>
        <v>494064</v>
      </c>
      <c r="AB2" t="e">
        <f>CON_Report_Date</f>
        <v>#VALUE!</v>
      </c>
      <c r="AC2">
        <f>CON_Target_2014_2015</f>
        <v>87863</v>
      </c>
      <c r="AD2" t="e">
        <f>CON_Utility_Name</f>
        <v>#VALUE!</v>
      </c>
      <c r="AE2" t="str">
        <f>REN_Contact_Name</f>
        <v>Lynn Latendresse</v>
      </c>
      <c r="AF2" t="str">
        <f>REN_Email</f>
        <v>llatendresse@clarkpud.com</v>
      </c>
      <c r="AG2">
        <f>REN_ERR_ApprenticeLabor</f>
        <v>0</v>
      </c>
      <c r="AH2">
        <f>REN_ERR_Biodiesel</f>
        <v>0</v>
      </c>
      <c r="AI2">
        <f>REN_ERR_Biomass</f>
        <v>0</v>
      </c>
      <c r="AJ2">
        <f>REN_ERR_Geothermal</f>
        <v>0</v>
      </c>
      <c r="AK2">
        <f>REN_ERR_LandfillGas</f>
        <v>0</v>
      </c>
      <c r="AL2">
        <f>REN_ERR_SewageGas</f>
        <v>0</v>
      </c>
      <c r="AM2">
        <f>REN_ERR_Solar</f>
        <v>0</v>
      </c>
      <c r="AN2">
        <f>REN_ERR_Water</f>
        <v>0</v>
      </c>
      <c r="AO2">
        <f>REN_ERR_Wind</f>
        <v>15744</v>
      </c>
      <c r="AP2">
        <f>REN_ERR_WOT</f>
        <v>0</v>
      </c>
      <c r="AQ2">
        <f>REN_Expenditure_Amount_2015</f>
        <v>12573232</v>
      </c>
      <c r="AR2">
        <f>REN_Expenditure_Percent_2015</f>
        <v>3.6452006924564857E-2</v>
      </c>
      <c r="AS2">
        <f>REN_Load_2013</f>
        <v>4441161</v>
      </c>
      <c r="AT2">
        <f>REN_Load_2014</f>
        <v>4380723</v>
      </c>
      <c r="AU2">
        <f>REN_REC_ApprenticeLabor</f>
        <v>0</v>
      </c>
      <c r="AV2">
        <f>REN_REC_Biodiesel</f>
        <v>0</v>
      </c>
      <c r="AW2">
        <f>REN_REC_Biomass</f>
        <v>0</v>
      </c>
      <c r="AX2">
        <f>REN_REC_DistributedGeneration</f>
        <v>0</v>
      </c>
      <c r="AY2">
        <f>REN_REC_Geothermal</f>
        <v>0</v>
      </c>
      <c r="AZ2">
        <f>REN_REC_LandfillGas</f>
        <v>0</v>
      </c>
      <c r="BA2">
        <f>REN_REC_SewageGas</f>
        <v>0</v>
      </c>
      <c r="BB2">
        <f>REN_REC_Solar</f>
        <v>0</v>
      </c>
      <c r="BC2">
        <f>REN_REC_Wind</f>
        <v>144149</v>
      </c>
      <c r="BD2">
        <f>REN_REC_WOT</f>
        <v>0</v>
      </c>
      <c r="BE2">
        <f>REN_RetailRevenueRequirement_2015</f>
        <v>344925645</v>
      </c>
      <c r="BF2">
        <f>REN_Submittal_Date</f>
        <v>42150</v>
      </c>
      <c r="BG2">
        <f>REN_Total_2015</f>
        <v>159893</v>
      </c>
      <c r="BH2" t="str">
        <f>REN_Utility_Name</f>
        <v>Clark Public Utilities</v>
      </c>
      <c r="BI2">
        <f>REN_ERR_LandfillGas</f>
        <v>0</v>
      </c>
      <c r="BJ2">
        <f>REN_ERR_SewageGas</f>
        <v>0</v>
      </c>
      <c r="BK2">
        <f>REN_ERR_Solar</f>
        <v>0</v>
      </c>
      <c r="BL2">
        <f>REN_ERR_Water</f>
        <v>0</v>
      </c>
      <c r="BM2">
        <f>REN_ERR_Wind</f>
        <v>15744</v>
      </c>
      <c r="BN2">
        <f>REN_ERR_WOT</f>
        <v>0</v>
      </c>
      <c r="BO2">
        <f>REN_Expenditure_Amount_2015</f>
        <v>12573232</v>
      </c>
      <c r="BP2">
        <f>REN_Expenditure_Percent_2015</f>
        <v>3.6452006924564857E-2</v>
      </c>
      <c r="BQ2">
        <f>REN_Load_2013</f>
        <v>4441161</v>
      </c>
      <c r="BR2">
        <f>REN_Load_2014</f>
        <v>4380723</v>
      </c>
      <c r="BS2">
        <f>REN_REC_ApprenticeLabor</f>
        <v>0</v>
      </c>
      <c r="BT2">
        <f>REN_REC_Biodiesel</f>
        <v>0</v>
      </c>
      <c r="BU2">
        <f>REN_REC_Biomass</f>
        <v>0</v>
      </c>
      <c r="BV2">
        <f>REN_REC_DistributedGeneration</f>
        <v>0</v>
      </c>
      <c r="BW2">
        <f>REN_REC_Geothermal</f>
        <v>0</v>
      </c>
      <c r="BX2">
        <f>REN_REC_LandfillGas</f>
        <v>0</v>
      </c>
      <c r="BY2">
        <f>REN_REC_SewageGas</f>
        <v>0</v>
      </c>
      <c r="BZ2">
        <f>REN_REC_Solar</f>
        <v>0</v>
      </c>
      <c r="CA2">
        <f>REN_REC_Wind</f>
        <v>144149</v>
      </c>
      <c r="CB2">
        <f>REN_REC_WOT</f>
        <v>0</v>
      </c>
      <c r="CC2">
        <f>REN_Submittal_Date</f>
        <v>42150</v>
      </c>
      <c r="CD2">
        <f>REN_Total_2015</f>
        <v>159893</v>
      </c>
      <c r="CE2" t="str">
        <f>REN_Utility_Name</f>
        <v>Clark Public Utilities</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Year xmlns="63979cc8-f6b2-4ee6-8bed-630b6048d169">2015</Year>
    <d599451e10b14aceb47619c4acf6a5e3 xmlns="59db5950-9a61-4c09-b3e2-fe6d472fba04">
      <Terms xmlns="http://schemas.microsoft.com/office/infopath/2007/PartnerControls"/>
    </d599451e10b14aceb47619c4acf6a5e3>
    <TaxCatchAll xmlns="59db5950-9a61-4c09-b3e2-fe6d472fba04"/>
    <BusinessUnit xmlns="63979cc8-f6b2-4ee6-8bed-630b6048d169">Energy Office</BusinessUnit>
    <PublishingExpirationDate xmlns="http://schemas.microsoft.com/sharepoint/v3" xsi:nil="true"/>
    <RoutingRuleDescription xmlns="http://schemas.microsoft.com/sharepoint/v3">eia</RoutingRuleDescription>
    <PublishingStartDate xmlns="http://schemas.microsoft.com/sharepoint/v3" xsi:nil="true"/>
    <Publish xmlns="63979cc8-f6b2-4ee6-8bed-630b6048d169">Yes</Publish>
    <Topic xmlns="63979cc8-f6b2-4ee6-8bed-630b6048d169">Electric Utilities</Topic>
    <Program xmlns="63979cc8-f6b2-4ee6-8bed-630b6048d169">Energy and Technology</Program>
    <Content_x0020_Type xmlns="63979cc8-f6b2-4ee6-8bed-630b6048d169">Form</Content_x0020_Typ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973bd6561572a3005a6b7ab97f1f6e8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0c769d9437d03691a8a8f58a18ba4cc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enumeration value="2015"/>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6660fb1-bd30-4810-8537-b68c6e84052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2.xml><?xml version="1.0" encoding="utf-8"?>
<ds:datastoreItem xmlns:ds="http://schemas.openxmlformats.org/officeDocument/2006/customXml" ds:itemID="{B5134EF7-F04D-4218-953F-7A835D8EE7C1}">
  <ds:schemaRefs>
    <ds:schemaRef ds:uri="http://schemas.microsoft.com/office/2006/metadata/properties"/>
    <ds:schemaRef ds:uri="http://schemas.microsoft.com/office/infopath/2007/PartnerControls"/>
    <ds:schemaRef ds:uri="http://www.w3.org/XML/1998/namespace"/>
    <ds:schemaRef ds:uri="59db5950-9a61-4c09-b3e2-fe6d472fba04"/>
    <ds:schemaRef ds:uri="http://purl.org/dc/terms/"/>
    <ds:schemaRef ds:uri="http://purl.org/dc/dcmitype/"/>
    <ds:schemaRef ds:uri="http://purl.org/dc/elements/1.1/"/>
    <ds:schemaRef ds:uri="http://schemas.microsoft.com/office/2006/documentManagement/types"/>
    <ds:schemaRef ds:uri="http://schemas.openxmlformats.org/package/2006/metadata/core-properties"/>
    <ds:schemaRef ds:uri="63979cc8-f6b2-4ee6-8bed-630b6048d169"/>
    <ds:schemaRef ds:uri="http://schemas.microsoft.com/sharepoint/v3"/>
  </ds:schemaRefs>
</ds:datastoreItem>
</file>

<file path=customXml/itemProps3.xml><?xml version="1.0" encoding="utf-8"?>
<ds:datastoreItem xmlns:ds="http://schemas.openxmlformats.org/officeDocument/2006/customXml" ds:itemID="{2EF96C38-3FA3-486F-8EDF-D6400E46EF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89</vt:i4>
      </vt:variant>
    </vt:vector>
  </HeadingPairs>
  <TitlesOfParts>
    <vt:vector size="95" baseType="lpstr">
      <vt:lpstr>Instructions - 2015</vt:lpstr>
      <vt:lpstr>Instructions - Revise 2013</vt:lpstr>
      <vt:lpstr>Conservation Report</vt:lpstr>
      <vt:lpstr>Renewables Report</vt:lpstr>
      <vt:lpstr>Renewable Cost Report</vt:lpstr>
      <vt:lpstr>Data</vt:lpstr>
      <vt:lpstr>CON_2014_Agriculture_Expend</vt:lpstr>
      <vt:lpstr>CON_2014_Agriculture_MWH</vt:lpstr>
      <vt:lpstr>'Conservation Report'!CON_2014_Commercial_Expend</vt:lpstr>
      <vt:lpstr>CON_2014_Commercial_Expend</vt:lpstr>
      <vt:lpstr>'Conservation Report'!CON_2014_Commercial_MWH</vt:lpstr>
      <vt:lpstr>CON_2014_Commercial_MWH</vt:lpstr>
      <vt:lpstr>'Conservation Report'!CON_2014_Distribution_Expend</vt:lpstr>
      <vt:lpstr>CON_2014_Distribution_Expend</vt:lpstr>
      <vt:lpstr>'Conservation Report'!CON_2014_Distribution_MWH</vt:lpstr>
      <vt:lpstr>CON_2014_Distribution_MWH</vt:lpstr>
      <vt:lpstr>'Conservation Report'!CON_2014_Expenditures</vt:lpstr>
      <vt:lpstr>CON_2014_Expenditures</vt:lpstr>
      <vt:lpstr>'Conservation Report'!CON_2014_Industrial_Expend</vt:lpstr>
      <vt:lpstr>CON_2014_Industrial_Expend</vt:lpstr>
      <vt:lpstr>'Conservation Report'!CON_2014_Industrial_MWH</vt:lpstr>
      <vt:lpstr>CON_2014_Industrial_MWH</vt:lpstr>
      <vt:lpstr>'Conservation Report'!CON_2014_MWH</vt:lpstr>
      <vt:lpstr>CON_2014_MWH</vt:lpstr>
      <vt:lpstr>'Conservation Report'!CON_2014_NEEA_Expend</vt:lpstr>
      <vt:lpstr>CON_2014_NEEA_Expend</vt:lpstr>
      <vt:lpstr>'Conservation Report'!CON_2014_NEEA_MWH</vt:lpstr>
      <vt:lpstr>CON_2014_NEEA_MWH</vt:lpstr>
      <vt:lpstr>'Conservation Report'!CON_2014_OtherSector1_Expend</vt:lpstr>
      <vt:lpstr>CON_2014_OtherSector1_Expend</vt:lpstr>
      <vt:lpstr>'Conservation Report'!CON_2014_OtherSector1_MWH</vt:lpstr>
      <vt:lpstr>CON_2014_OtherSector1_MWH</vt:lpstr>
      <vt:lpstr>'Conservation Report'!CON_2014_OtherSector2_Expend</vt:lpstr>
      <vt:lpstr>CON_2014_OtherSector2_Expend</vt:lpstr>
      <vt:lpstr>'Conservation Report'!CON_2014_OtherSector2_MWH</vt:lpstr>
      <vt:lpstr>CON_2014_OtherSector2_MWH</vt:lpstr>
      <vt:lpstr>'Conservation Report'!CON_2014_Production_Expend</vt:lpstr>
      <vt:lpstr>CON_2014_Production_Expend</vt:lpstr>
      <vt:lpstr>'Conservation Report'!CON_2014_Production_MWH</vt:lpstr>
      <vt:lpstr>CON_2014_Production_MWH</vt:lpstr>
      <vt:lpstr>'Conservation Report'!CON_2014_Program1_Expend</vt:lpstr>
      <vt:lpstr>CON_2014_Program1_Expend</vt:lpstr>
      <vt:lpstr>'Conservation Report'!CON_2014_Program2_Expend</vt:lpstr>
      <vt:lpstr>CON_2014_Program2_Expend</vt:lpstr>
      <vt:lpstr>'Conservation Report'!CON_2014_Residential_Expend</vt:lpstr>
      <vt:lpstr>CON_2014_Residential_Expend</vt:lpstr>
      <vt:lpstr>'Conservation Report'!CON_2014_Residential_MWH</vt:lpstr>
      <vt:lpstr>CON_2014_Residential_MWH</vt:lpstr>
      <vt:lpstr>'Conservation Report'!CON_Contact_Name</vt:lpstr>
      <vt:lpstr>CON_Contact_Name</vt:lpstr>
      <vt:lpstr>'Conservation Report'!CON_Email</vt:lpstr>
      <vt:lpstr>CON_Email</vt:lpstr>
      <vt:lpstr>'Conservation Report'!CON_Phone</vt:lpstr>
      <vt:lpstr>CON_Phone</vt:lpstr>
      <vt:lpstr>'Conservation Report'!CON_Potential_2014_2023</vt:lpstr>
      <vt:lpstr>CON_Potential_2014_2023</vt:lpstr>
      <vt:lpstr>'Conservation Report'!CON_Report_Date</vt:lpstr>
      <vt:lpstr>CON_Report_Date</vt:lpstr>
      <vt:lpstr>'Conservation Report'!CON_Target_2014_2015</vt:lpstr>
      <vt:lpstr>CON_Target_2014_2015</vt:lpstr>
      <vt:lpstr>'Conservation Report'!CON_Utility_Name</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REN_Expenditure_Amount_2015</vt:lpstr>
      <vt:lpstr>REN_Expenditure_Percent_2015</vt:lpstr>
      <vt:lpstr>REN_Load_2013</vt:lpstr>
      <vt:lpstr>REN_Load_2014</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REN_RetailRevenueRequirement_2015</vt:lpstr>
      <vt:lpstr>REN_Submittal_Date</vt:lpstr>
      <vt:lpstr>REN_Total_2015</vt:lpstr>
      <vt:lpstr>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2015 Report Workbook for Utilities</dc:title>
  <dc:creator>Glenn Blackmon</dc:creator>
  <cp:keywords>EIA 2014 Report Workbook for Utilities</cp:keywords>
  <cp:lastModifiedBy>Glenn Blackmon</cp:lastModifiedBy>
  <cp:lastPrinted>2015-05-28T20:56:24Z</cp:lastPrinted>
  <dcterms:created xsi:type="dcterms:W3CDTF">2012-03-20T21:01:26Z</dcterms:created>
  <dcterms:modified xsi:type="dcterms:W3CDTF">2015-06-05T16:25:17Z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