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B:\Rates\Power, Rates &amp; Transmission Management\I 937 Compliance\Progress Reports to Commerce\2015 June Progress Report\"/>
    </mc:Choice>
  </mc:AlternateContent>
  <bookViews>
    <workbookView xWindow="330" yWindow="30" windowWidth="15030" windowHeight="6015" tabRatio="719" activeTab="4"/>
  </bookViews>
  <sheets>
    <sheet name="Instructions - 2015" sheetId="21" r:id="rId1"/>
    <sheet name="Instructions - Revise 2013" sheetId="20" r:id="rId2"/>
    <sheet name="Conservation Report" sheetId="24" r:id="rId3"/>
    <sheet name="Renewables Report" sheetId="16" r:id="rId4"/>
    <sheet name="Renewable Cost Report" sheetId="23" r:id="rId5"/>
    <sheet name="Data" sheetId="19" state="hidden" r:id="rId6"/>
  </sheets>
  <externalReferences>
    <externalReference r:id="rId7"/>
  </externalReferences>
  <definedNames>
    <definedName name="CON_2014_Agriculture_Expend" localSheetId="2">'Conservation Report'!$E$20</definedName>
    <definedName name="CON_2014_Agriculture_Expend">#REF!</definedName>
    <definedName name="CON_2014_Agriculture_MWH" localSheetId="2">'Conservation Report'!$D$20</definedName>
    <definedName name="CON_2014_Agriculture_MWH">#REF!</definedName>
    <definedName name="CON_2014_Commercial_Expend" localSheetId="2">'Conservation Report'!$E$18</definedName>
    <definedName name="CON_2014_Commercial_Expend">#REF!</definedName>
    <definedName name="CON_2014_Commercial_MWH" localSheetId="2">'Conservation Report'!$D$18</definedName>
    <definedName name="CON_2014_Commercial_MWH">#REF!</definedName>
    <definedName name="CON_2014_Distribution_Expend" localSheetId="2">'Conservation Report'!$E$21</definedName>
    <definedName name="CON_2014_Distribution_Expend">#REF!</definedName>
    <definedName name="CON_2014_Distribution_MWH" localSheetId="2">'Conservation Report'!$D$21</definedName>
    <definedName name="CON_2014_Distribution_MWH">#REF!</definedName>
    <definedName name="CON_2014_Expenditures" localSheetId="2">'Conservation Report'!$E$29</definedName>
    <definedName name="CON_2014_Expenditures">#REF!</definedName>
    <definedName name="CON_2014_Industrial_Expend" localSheetId="2">'Conservation Report'!$E$19</definedName>
    <definedName name="CON_2014_Industrial_Expend">#REF!</definedName>
    <definedName name="CON_2014_Industrial_MWH" localSheetId="2">'Conservation Report'!$D$19</definedName>
    <definedName name="CON_2014_Industrial_MWH">#REF!</definedName>
    <definedName name="CON_2014_MWH" localSheetId="2">'Conservation Report'!$D$29</definedName>
    <definedName name="CON_2014_MWH">#REF!</definedName>
    <definedName name="CON_2014_NEEA_Expend" localSheetId="2">'Conservation Report'!$E$23</definedName>
    <definedName name="CON_2014_NEEA_Expend">#REF!</definedName>
    <definedName name="CON_2014_NEEA_MWH" localSheetId="2">'Conservation Report'!$D$23</definedName>
    <definedName name="CON_2014_NEEA_MWH">#REF!</definedName>
    <definedName name="CON_2014_OtherSector1_Expend" localSheetId="2">'Conservation Report'!$E$24</definedName>
    <definedName name="CON_2014_OtherSector1_Expend">#REF!</definedName>
    <definedName name="CON_2014_OtherSector1_MWH" localSheetId="2">'Conservation Report'!$D$24</definedName>
    <definedName name="CON_2014_OtherSector1_MWH">#REF!</definedName>
    <definedName name="CON_2014_OtherSector2_Expend" localSheetId="2">'Conservation Report'!$E$25</definedName>
    <definedName name="CON_2014_OtherSector2_Expend">#REF!</definedName>
    <definedName name="CON_2014_OtherSector2_MWH" localSheetId="2">'Conservation Report'!$D$25</definedName>
    <definedName name="CON_2014_OtherSector2_MWH">#REF!</definedName>
    <definedName name="CON_2014_Production_Expend" localSheetId="2">'Conservation Report'!$E$22</definedName>
    <definedName name="CON_2014_Production_Expend">#REF!</definedName>
    <definedName name="CON_2014_Production_MWH" localSheetId="2">'Conservation Report'!$D$22</definedName>
    <definedName name="CON_2014_Production_MWH">#REF!</definedName>
    <definedName name="CON_2014_Program1_Expend" localSheetId="2">'Conservation Report'!$E$27</definedName>
    <definedName name="CON_2014_Program1_Expend">#REF!</definedName>
    <definedName name="CON_2014_Program2_Expend" localSheetId="2">'Conservation Report'!$E$28</definedName>
    <definedName name="CON_2014_Program2_Expend">#REF!</definedName>
    <definedName name="CON_2014_Residential_Expend" localSheetId="2">'Conservation Report'!$E$17</definedName>
    <definedName name="CON_2014_Residential_Expend">#REF!</definedName>
    <definedName name="CON_2014_Residential_MWH" localSheetId="2">'Conservation Report'!$D$17</definedName>
    <definedName name="CON_2014_Residential_MWH">#REF!</definedName>
    <definedName name="CON_Contact_Name" localSheetId="2">'Conservation Report'!$C$5</definedName>
    <definedName name="CON_Contact_Name">#REF!</definedName>
    <definedName name="CON_Email" localSheetId="2">'Conservation Report'!$C$7</definedName>
    <definedName name="CON_Email">#REF!</definedName>
    <definedName name="CON_Phone" localSheetId="2">'Conservation Report'!$C$6</definedName>
    <definedName name="CON_Phone">#REF!</definedName>
    <definedName name="CON_Potential_2014_2023" localSheetId="2">'Conservation Report'!$D$12</definedName>
    <definedName name="CON_Potential_2014_2023">#REF!</definedName>
    <definedName name="CON_Report_Date" localSheetId="2">'Conservation Report'!$C$4</definedName>
    <definedName name="CON_Report_Date">#REF!</definedName>
    <definedName name="CON_Target_2014_2015" localSheetId="2">'Conservation Report'!$E$12</definedName>
    <definedName name="CON_Target_2014_2015">#REF!</definedName>
    <definedName name="CON_Utility_Name" localSheetId="2">'Conservation Report'!$C$3</definedName>
    <definedName name="CON_Utility_Name" localSheetId="0">'[1]Conservation Report'!$C$3:$E$3</definedName>
    <definedName name="CON_Utility_Name">#REF!</definedName>
    <definedName name="_xlnm.Print_Area" localSheetId="2">'Conservation Report'!$A$1:$J$53</definedName>
    <definedName name="_xlnm.Print_Area" localSheetId="4">'Renewable Cost Report'!$B$1:$L$77</definedName>
    <definedName name="_xlnm.Print_Area" localSheetId="3">'Renewables Report'!$A$1:$O$136</definedName>
    <definedName name="REN_Contact_Name" localSheetId="2">#REF!</definedName>
    <definedName name="REN_Contact_Name">'Renewables Report'!$C$5</definedName>
    <definedName name="REN_Email" localSheetId="2">#REF!</definedName>
    <definedName name="REN_Email">'Renewables Report'!$C$7</definedName>
    <definedName name="REN_ERR_ApprenticeLabor" localSheetId="2">#REF!</definedName>
    <definedName name="REN_ERR_ApprenticeLabor">'Renewables Report'!$L$18</definedName>
    <definedName name="REN_ERR_Biodiesel" localSheetId="2">#REF!</definedName>
    <definedName name="REN_ERR_Biodiesel">'Renewables Report'!$J$18</definedName>
    <definedName name="REN_ERR_Biomass" localSheetId="2">#REF!</definedName>
    <definedName name="REN_ERR_Biomass">'Renewables Report'!$K$18</definedName>
    <definedName name="REN_ERR_Geothermal" localSheetId="2">#REF!</definedName>
    <definedName name="REN_ERR_Geothermal">'Renewables Report'!$F$18</definedName>
    <definedName name="REN_ERR_LandfillGas" localSheetId="2">#REF!</definedName>
    <definedName name="REN_ERR_LandfillGas">'Renewables Report'!$G$18</definedName>
    <definedName name="REN_ERR_SewageGas" localSheetId="2">#REF!</definedName>
    <definedName name="REN_ERR_SewageGas">'Renewables Report'!$I$18</definedName>
    <definedName name="REN_ERR_Solar" localSheetId="2">#REF!</definedName>
    <definedName name="REN_ERR_Solar">'Renewables Report'!$E$18</definedName>
    <definedName name="REN_ERR_Water" localSheetId="2">#REF!</definedName>
    <definedName name="REN_ERR_Water">'Renewables Report'!$C$18</definedName>
    <definedName name="REN_ERR_Wind" localSheetId="2">#REF!</definedName>
    <definedName name="REN_ERR_Wind">'Renewables Report'!$D$18</definedName>
    <definedName name="REN_ERR_WOT" localSheetId="2">#REF!</definedName>
    <definedName name="REN_ERR_WOT">'Renewables Report'!$H$18</definedName>
    <definedName name="REN_Expenditure_Amount_2015" localSheetId="2">#REF!</definedName>
    <definedName name="REN_Expenditure_Amount_2015">'Renewables Report'!$N$11</definedName>
    <definedName name="REN_Expenditure_Percent_2015" localSheetId="2">#REF!</definedName>
    <definedName name="REN_Expenditure_Percent_2015">'Renewables Report'!$N$13</definedName>
    <definedName name="REN_Load_2013" localSheetId="2">#REF!</definedName>
    <definedName name="REN_Load_2013">'Renewables Report'!$N$3</definedName>
    <definedName name="REN_Load_2014" localSheetId="2">#REF!</definedName>
    <definedName name="REN_Load_2014">'Renewables Report'!$N$4</definedName>
    <definedName name="REN_REC_ApprenticeLabor" localSheetId="2">#REF!</definedName>
    <definedName name="REN_REC_ApprenticeLabor">'Renewables Report'!$L$19</definedName>
    <definedName name="REN_REC_Biodiesel" localSheetId="2">#REF!</definedName>
    <definedName name="REN_REC_Biodiesel">'Renewables Report'!$J$19</definedName>
    <definedName name="REN_REC_Biomass" localSheetId="2">#REF!</definedName>
    <definedName name="REN_REC_Biomass">'Renewables Report'!$K$19</definedName>
    <definedName name="REN_REC_DistributedGeneration" localSheetId="2">#REF!</definedName>
    <definedName name="REN_REC_DistributedGeneration">'Renewables Report'!$M$19</definedName>
    <definedName name="REN_REC_Geothermal" localSheetId="2">#REF!</definedName>
    <definedName name="REN_REC_Geothermal">'Renewables Report'!$F$19</definedName>
    <definedName name="REN_REC_LandfillGas" localSheetId="2">#REF!</definedName>
    <definedName name="REN_REC_LandfillGas">'Renewables Report'!$G$19</definedName>
    <definedName name="REN_REC_SewageGas" localSheetId="2">#REF!</definedName>
    <definedName name="REN_REC_SewageGas">'Renewables Report'!$I$19</definedName>
    <definedName name="REN_REC_Solar" localSheetId="2">#REF!</definedName>
    <definedName name="REN_REC_Solar">'Renewables Report'!$E$19</definedName>
    <definedName name="REN_REC_Wind" localSheetId="2">#REF!</definedName>
    <definedName name="REN_REC_Wind">'Renewables Report'!$D$19</definedName>
    <definedName name="REN_REC_WOT" localSheetId="2">#REF!</definedName>
    <definedName name="REN_REC_WOT">'Renewables Report'!$H$19</definedName>
    <definedName name="REN_RetailRevenueRequirement_2015" localSheetId="2">#REF!</definedName>
    <definedName name="REN_RetailRevenueRequirement_2015">'Renewables Report'!$N$12</definedName>
    <definedName name="REN_Submittal_Date" localSheetId="2">#REF!</definedName>
    <definedName name="REN_Submittal_Date">'Renewables Report'!$C$4</definedName>
    <definedName name="REN_Total_2015" localSheetId="2">#REF!</definedName>
    <definedName name="REN_Total_2015">'Renewables Report'!$N$8</definedName>
    <definedName name="REN_Utility_Name" localSheetId="2">#REF!</definedName>
    <definedName name="REN_Utility_Name">'Renewables Report'!$C$3</definedName>
  </definedNames>
  <calcPr calcId="152511"/>
</workbook>
</file>

<file path=xl/calcChain.xml><?xml version="1.0" encoding="utf-8"?>
<calcChain xmlns="http://schemas.openxmlformats.org/spreadsheetml/2006/main">
  <c r="E18" i="24" l="1"/>
  <c r="E29" i="24" s="1"/>
  <c r="D29" i="24"/>
  <c r="C31" i="24"/>
  <c r="D18" i="16" l="1"/>
  <c r="K18" i="16"/>
  <c r="D19" i="16"/>
  <c r="M49" i="16" l="1"/>
  <c r="M45" i="16"/>
  <c r="L7" i="23"/>
  <c r="N4" i="16"/>
  <c r="G37" i="23"/>
  <c r="G35" i="23"/>
  <c r="G36" i="23"/>
  <c r="G38" i="23"/>
  <c r="G39" i="23"/>
  <c r="G40" i="23"/>
  <c r="G41" i="23"/>
  <c r="G42" i="23"/>
  <c r="L27" i="23"/>
  <c r="L26" i="23"/>
  <c r="L25" i="23"/>
  <c r="L24" i="23"/>
  <c r="L23" i="23"/>
  <c r="L22" i="23"/>
  <c r="L21" i="23"/>
  <c r="L20" i="23"/>
  <c r="L19" i="23"/>
  <c r="L18" i="23"/>
  <c r="L17" i="23"/>
  <c r="L16" i="23"/>
  <c r="L15" i="23"/>
  <c r="L14" i="23"/>
  <c r="L13" i="23"/>
  <c r="L12" i="23"/>
  <c r="L11" i="23"/>
  <c r="L10" i="23"/>
  <c r="L9" i="23"/>
  <c r="L8" i="23"/>
  <c r="L28" i="23"/>
  <c r="BE2" i="19"/>
  <c r="CE2" i="19"/>
  <c r="CC2" i="19"/>
  <c r="BR2" i="19"/>
  <c r="BQ2" i="19"/>
  <c r="BH2" i="19"/>
  <c r="BF2" i="19"/>
  <c r="AT2" i="19"/>
  <c r="AS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F60" i="23"/>
  <c r="N11" i="16" s="1"/>
  <c r="E28" i="23"/>
  <c r="J28" i="23"/>
  <c r="F8" i="23"/>
  <c r="K9" i="23"/>
  <c r="F10" i="23"/>
  <c r="K11" i="23"/>
  <c r="K12" i="23"/>
  <c r="D13" i="23"/>
  <c r="K13" i="23"/>
  <c r="D14" i="23"/>
  <c r="F14" i="23"/>
  <c r="D15" i="23"/>
  <c r="K15" i="23"/>
  <c r="D16" i="23"/>
  <c r="K16" i="23"/>
  <c r="D17" i="23"/>
  <c r="K17" i="23"/>
  <c r="D18" i="23"/>
  <c r="F18" i="23"/>
  <c r="D19" i="23"/>
  <c r="F19" i="23"/>
  <c r="D20" i="23"/>
  <c r="K20" i="23"/>
  <c r="D21" i="23"/>
  <c r="K21" i="23"/>
  <c r="D22" i="23"/>
  <c r="F22" i="23"/>
  <c r="D23" i="23"/>
  <c r="K23" i="23"/>
  <c r="D24" i="23"/>
  <c r="F24" i="23"/>
  <c r="D25" i="23"/>
  <c r="K25" i="23"/>
  <c r="D26" i="23"/>
  <c r="F26" i="23"/>
  <c r="D27" i="23"/>
  <c r="F27" i="23"/>
  <c r="F7" i="23"/>
  <c r="K10" i="23"/>
  <c r="F16" i="23"/>
  <c r="K8" i="23"/>
  <c r="K24" i="23"/>
  <c r="K7" i="23"/>
  <c r="K22" i="23"/>
  <c r="F12" i="23"/>
  <c r="F23" i="23"/>
  <c r="K19" i="23"/>
  <c r="F25" i="23"/>
  <c r="F17" i="23"/>
  <c r="F9" i="23"/>
  <c r="F11" i="23"/>
  <c r="B13" i="23"/>
  <c r="C13" i="23"/>
  <c r="B14" i="23"/>
  <c r="C14"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c r="N5" i="21"/>
  <c r="N7" i="20"/>
  <c r="N5" i="16"/>
  <c r="N7" i="16" s="1"/>
  <c r="A2" i="19"/>
  <c r="C18" i="16"/>
  <c r="AN2" i="19"/>
  <c r="BM2" i="19"/>
  <c r="E18" i="16"/>
  <c r="BK2" i="19"/>
  <c r="F18" i="16"/>
  <c r="AJ2" i="19"/>
  <c r="G18" i="16"/>
  <c r="H18" i="16"/>
  <c r="BN2" i="19"/>
  <c r="I18" i="16"/>
  <c r="J18" i="16"/>
  <c r="AH2" i="19"/>
  <c r="AI2" i="19"/>
  <c r="L18" i="16"/>
  <c r="AG2" i="19"/>
  <c r="AP2" i="19"/>
  <c r="BJ2" i="19"/>
  <c r="AL2" i="19"/>
  <c r="BI2" i="19"/>
  <c r="AK2" i="19"/>
  <c r="AM2" i="19"/>
  <c r="AO2" i="19"/>
  <c r="H2" i="19"/>
  <c r="K2" i="19"/>
  <c r="M19" i="16"/>
  <c r="BV2" i="19" s="1"/>
  <c r="F98" i="16"/>
  <c r="L19" i="16"/>
  <c r="AU2" i="19" s="1"/>
  <c r="F66" i="16"/>
  <c r="F36" i="16"/>
  <c r="K19" i="16"/>
  <c r="AW2" i="19" s="1"/>
  <c r="J19" i="16"/>
  <c r="AV2" i="19" s="1"/>
  <c r="I19" i="16"/>
  <c r="BY2" i="19" s="1"/>
  <c r="H19" i="16"/>
  <c r="BD2" i="19" s="1"/>
  <c r="G19" i="16"/>
  <c r="AZ2" i="19" s="1"/>
  <c r="F19" i="16"/>
  <c r="AY2" i="19" s="1"/>
  <c r="E19" i="16"/>
  <c r="BB2" i="19" s="1"/>
  <c r="BC2" i="19"/>
  <c r="BX2" i="19"/>
  <c r="BZ2" i="19"/>
  <c r="BA2" i="19"/>
  <c r="BW2" i="19"/>
  <c r="CA2" i="19"/>
  <c r="E20" i="16"/>
  <c r="H20" i="16"/>
  <c r="BL2" i="19"/>
  <c r="C20" i="16"/>
  <c r="K20" i="16"/>
  <c r="D28" i="23"/>
  <c r="F13" i="23"/>
  <c r="F21" i="23"/>
  <c r="K27" i="23"/>
  <c r="F15" i="23"/>
  <c r="K14" i="23"/>
  <c r="F20" i="23"/>
  <c r="K18" i="23"/>
  <c r="K26" i="23"/>
  <c r="D20" i="16"/>
  <c r="AQ2" i="19" l="1"/>
  <c r="N13" i="16"/>
  <c r="BO2" i="19"/>
  <c r="M20" i="16"/>
  <c r="J20" i="16"/>
  <c r="L20" i="16"/>
  <c r="F20" i="16"/>
  <c r="BT2" i="19"/>
  <c r="I20" i="16"/>
  <c r="BS2" i="19"/>
  <c r="BU2" i="19"/>
  <c r="AX2" i="19"/>
  <c r="G20" i="16"/>
  <c r="CB2" i="19"/>
  <c r="BP2" i="19" l="1"/>
  <c r="AR2" i="19"/>
  <c r="N8" i="16"/>
  <c r="CD2" i="19" s="1"/>
  <c r="BG2" i="19" l="1"/>
</calcChain>
</file>

<file path=xl/sharedStrings.xml><?xml version="1.0" encoding="utf-8"?>
<sst xmlns="http://schemas.openxmlformats.org/spreadsheetml/2006/main" count="382" uniqueCount="234">
  <si>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</si>
  <si>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</si>
  <si>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</si>
  <si>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</si>
  <si>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</si>
  <si>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</si>
  <si>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</si>
  <si>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</si>
  <si>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</si>
  <si>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</si>
  <si>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</si>
  <si>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</si>
  <si>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</si>
  <si>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</si>
  <si>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</si>
  <si>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</si>
  <si>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</si>
  <si>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</si>
  <si>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</si>
  <si>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</si>
  <si>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</si>
  <si>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</si>
  <si>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</si>
  <si>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</si>
  <si>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</si>
  <si>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</si>
  <si>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</si>
  <si>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</si>
  <si>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</si>
  <si>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</si>
  <si>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</si>
  <si>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</si>
  <si>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</si>
  <si>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</si>
  <si>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</si>
  <si>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</si>
  <si>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</si>
  <si>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</si>
  <si>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</si>
  <si>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</si>
  <si>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</si>
  <si>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</si>
  <si>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</si>
  <si>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</si>
  <si>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</si>
  <si>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</si>
  <si>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</si>
  <si>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</si>
  <si>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</si>
  <si>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</si>
  <si>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</si>
  <si>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</si>
  <si>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</si>
  <si>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</si>
  <si>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</si>
  <si>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</si>
  <si>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</si>
  <si>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</si>
  <si>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</si>
  <si>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</si>
  <si>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</si>
  <si>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</si>
  <si>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</si>
  <si>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</si>
  <si>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</si>
  <si>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</si>
  <si>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</si>
  <si>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</si>
  <si>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</si>
  <si>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</si>
  <si>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</si>
  <si>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</si>
  <si>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</si>
  <si>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</si>
  <si>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</si>
  <si>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</si>
  <si>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</si>
  <si>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</si>
  <si>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</si>
  <si>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</si>
  <si>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</si>
  <si>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</si>
  <si>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</si>
  <si>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</si>
  <si>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</si>
  <si>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</si>
  <si>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</si>
  <si>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</si>
  <si>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</si>
  <si>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</si>
  <si>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</si>
  <si>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</si>
  <si>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</si>
  <si>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</si>
  <si>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</si>
  <si>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</si>
  <si>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</si>
  <si>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</si>
  <si>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</si>
  <si>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</si>
  <si>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</si>
  <si>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</si>
  <si>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</si>
  <si>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</si>
  <si>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</si>
  <si>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</si>
  <si>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</si>
  <si>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</si>
  <si>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</si>
  <si>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</si>
  <si>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</si>
  <si>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</si>
  <si>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</si>
  <si>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</si>
  <si>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</si>
  <si>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</si>
  <si>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</si>
  <si>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</si>
  <si>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</si>
  <si>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</si>
  <si>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</si>
  <si>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</si>
  <si>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</si>
  <si>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</si>
  <si>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</si>
  <si>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</si>
  <si>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</si>
  <si>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</si>
  <si>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</si>
  <si>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</si>
  <si>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</si>
  <si>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</si>
  <si>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</si>
  <si>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</si>
  <si>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</si>
  <si>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</si>
  <si>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</si>
  <si>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</si>
  <si>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</si>
  <si>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</si>
  <si>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</si>
  <si>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</si>
  <si>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</si>
  <si>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</si>
  <si>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</si>
  <si>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</si>
  <si>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</si>
  <si>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</si>
  <si>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</si>
  <si>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</si>
  <si>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</si>
  <si>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</si>
  <si>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</si>
  <si>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</si>
  <si>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</si>
  <si>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</si>
  <si>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</si>
  <si>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</si>
  <si>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</si>
  <si>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</si>
  <si>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</si>
  <si>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</si>
  <si>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</si>
  <si>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</si>
  <si>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</si>
  <si>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</si>
  <si>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</si>
  <si>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</si>
  <si>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</si>
  <si>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</si>
  <si>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</si>
  <si>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</si>
  <si>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</si>
  <si>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</si>
  <si>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</si>
  <si>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</si>
  <si>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</si>
  <si>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</si>
  <si>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</si>
  <si>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</si>
  <si>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</si>
  <si>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</si>
  <si>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</si>
  <si>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</si>
  <si>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</si>
  <si>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</si>
  <si>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</si>
  <si>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</si>
  <si>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</si>
  <si>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</si>
  <si>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</si>
  <si>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</si>
  <si>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</si>
  <si>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</si>
  <si>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</si>
  <si>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</si>
  <si>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</si>
  <si>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Snohomish County PUD</t>
  </si>
  <si>
    <t>Anna Berg</t>
  </si>
  <si>
    <t>425-783-1604</t>
  </si>
  <si>
    <t>AJBerg@snopud.com</t>
  </si>
  <si>
    <t>BPA Power</t>
  </si>
  <si>
    <t>Hay Canyon Wind Facility</t>
  </si>
  <si>
    <t>W978</t>
  </si>
  <si>
    <t>Wheat Field Wind Power Project</t>
  </si>
  <si>
    <t>W806</t>
  </si>
  <si>
    <t xml:space="preserve">White Creek Wind Project </t>
  </si>
  <si>
    <t>W360</t>
  </si>
  <si>
    <t>Woods Creek Hydroelectric Project</t>
  </si>
  <si>
    <t>Hampton Generating Unit</t>
  </si>
  <si>
    <t>W2794</t>
  </si>
  <si>
    <t>Qualco Energy Corporation</t>
  </si>
  <si>
    <t>Snohomish PUD Solar Express Projects</t>
  </si>
  <si>
    <t>BPA Tier 1: Condon Phase II</t>
  </si>
  <si>
    <t>W833</t>
  </si>
  <si>
    <t>BPA Tier 1: Klondike I</t>
  </si>
  <si>
    <t>W238</t>
  </si>
  <si>
    <t>BPA Tier 1: Klondike III</t>
  </si>
  <si>
    <t>W237</t>
  </si>
  <si>
    <t>BPA Tier 1: Stateline</t>
  </si>
  <si>
    <t>W248</t>
  </si>
  <si>
    <t>W3954</t>
  </si>
  <si>
    <t>W3708, W3710-W3713, W4046-W4047</t>
  </si>
  <si>
    <t>BPA Tier 1: Condon Wind</t>
  </si>
  <si>
    <t>W774</t>
  </si>
  <si>
    <t>BPA Tier 1: Condon Phase I1</t>
  </si>
  <si>
    <t>Overhead</t>
  </si>
  <si>
    <t>Labor</t>
  </si>
  <si>
    <t>jamitchell@snopud.com</t>
  </si>
  <si>
    <t>425-783-8163</t>
  </si>
  <si>
    <t>Jessica Mitchell - Planning &amp; Evaluation - Customer &amp; Energy Svcs</t>
  </si>
  <si>
    <t>W2398</t>
  </si>
  <si>
    <t>H.W. Hill Landfill Gas</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</si>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</sst>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0_);\(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s>
  <fills count="10">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s>
  <borders count="4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10">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9" fontId="1" fillId="7" borderId="36"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33" xfId="0" applyFont="1" applyFill="1" applyBorder="1" applyAlignment="1">
      <alignment horizontal="right"/>
    </xf>
    <xf numFmtId="0" fontId="1" fillId="8" borderId="20" xfId="0" applyFont="1" applyFill="1" applyBorder="1" applyAlignment="1">
      <alignment horizontal="right"/>
    </xf>
    <xf numFmtId="165" fontId="10" fillId="8" borderId="21" xfId="1" applyNumberFormat="1" applyFont="1" applyFill="1" applyBorder="1"/>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1" fillId="8" borderId="14" xfId="0" applyFont="1" applyFill="1" applyBorder="1" applyAlignment="1">
      <alignment horizontal="right" wrapText="1"/>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7" borderId="0" xfId="0" applyFont="1" applyFill="1" applyAlignment="1">
      <alignment horizontal="center"/>
    </xf>
    <xf numFmtId="1" fontId="1" fillId="7" borderId="23" xfId="0" applyNumberFormat="1" applyFont="1" applyFill="1" applyBorder="1" applyAlignment="1">
      <alignment horizontal="right"/>
    </xf>
    <xf numFmtId="1" fontId="1" fillId="7" borderId="1" xfId="0" applyNumberFormat="1" applyFont="1" applyFill="1" applyBorder="1" applyAlignment="1">
      <alignment horizontal="right"/>
    </xf>
    <xf numFmtId="1" fontId="1" fillId="7" borderId="2" xfId="0" applyNumberFormat="1" applyFont="1" applyFill="1" applyBorder="1" applyAlignment="1">
      <alignment horizontal="right"/>
    </xf>
    <xf numFmtId="170" fontId="10" fillId="8" borderId="1" xfId="1" applyNumberFormat="1" applyFont="1" applyFill="1" applyBorder="1"/>
    <xf numFmtId="170" fontId="10" fillId="8" borderId="23" xfId="1" applyNumberFormat="1" applyFont="1" applyFill="1" applyBorder="1"/>
    <xf numFmtId="165" fontId="10" fillId="7" borderId="36" xfId="1" applyNumberFormat="1" applyFont="1" applyFill="1" applyBorder="1" applyAlignment="1">
      <alignment horizontal="center"/>
    </xf>
    <xf numFmtId="165" fontId="10" fillId="7" borderId="13" xfId="1" applyNumberFormat="1" applyFont="1" applyFill="1" applyBorder="1" applyAlignment="1">
      <alignment horizontal="center"/>
    </xf>
    <xf numFmtId="165" fontId="10" fillId="8" borderId="12"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8" borderId="20" xfId="0" applyFont="1" applyFill="1" applyBorder="1" applyAlignment="1">
      <alignment horizontal="center"/>
    </xf>
    <xf numFmtId="168" fontId="12" fillId="8" borderId="14" xfId="0" applyNumberFormat="1" applyFont="1" applyFill="1" applyBorder="1" applyAlignment="1">
      <alignment horizontal="left"/>
    </xf>
    <xf numFmtId="168" fontId="10" fillId="8" borderId="14" xfId="0" applyNumberFormat="1" applyFont="1" applyFill="1" applyBorder="1" applyAlignment="1">
      <alignment horizontal="left"/>
    </xf>
    <xf numFmtId="0" fontId="11" fillId="3" borderId="14" xfId="0" applyFont="1" applyFill="1" applyBorder="1" applyAlignment="1">
      <alignment horizontal="left"/>
    </xf>
    <xf numFmtId="0" fontId="10" fillId="3" borderId="14" xfId="0" applyFont="1" applyFill="1" applyBorder="1" applyAlignment="1">
      <alignment horizontal="left"/>
    </xf>
    <xf numFmtId="0" fontId="9" fillId="3" borderId="15" xfId="3" applyFill="1" applyBorder="1" applyAlignment="1" applyProtection="1">
      <alignment horizontal="left"/>
    </xf>
    <xf numFmtId="0" fontId="10" fillId="3" borderId="15"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8" borderId="14" xfId="0" applyNumberFormat="1" applyFont="1" applyFill="1" applyBorder="1" applyAlignment="1">
      <alignment horizontal="center"/>
    </xf>
    <xf numFmtId="0" fontId="10" fillId="9" borderId="14" xfId="0" applyFont="1" applyFill="1" applyBorder="1" applyAlignment="1">
      <alignment horizontal="center"/>
    </xf>
    <xf numFmtId="0" fontId="9" fillId="9" borderId="15" xfId="3" applyFill="1" applyBorder="1" applyAlignment="1" applyProtection="1">
      <alignment horizontal="center"/>
    </xf>
    <xf numFmtId="0" fontId="10" fillId="9" borderId="15" xfId="0" applyFont="1" applyFill="1" applyBorder="1" applyAlignment="1">
      <alignment horizontal="center"/>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xf numFmtId="165" fontId="10" fillId="8" borderId="17" xfId="1" applyNumberFormat="1" applyFont="1" applyFill="1" applyBorder="1" applyAlignment="1">
      <alignment horizontal="center"/>
    </xf>
    <xf numFmtId="165" fontId="10" fillId="8" borderId="20" xfId="1" applyNumberFormat="1" applyFont="1" applyFill="1" applyBorder="1" applyAlignment="1">
      <alignment horizontal="center"/>
    </xf>
    <xf numFmtId="165" fontId="10" fillId="8" borderId="10" xfId="1" applyNumberFormat="1"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hyperlink" Target="http://www.snopud.com/Site/Content/Documents/finance/AR-2014_web.pdf"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52</xdr:row>
      <xdr:rowOff>85726</xdr:rowOff>
    </xdr:to>
    <xdr:sp macro="" textlink="">
      <xdr:nvSpPr>
        <xdr:cNvPr id="2" name="TextBox 1"/>
        <xdr:cNvSpPr txBox="1"/>
      </xdr:nvSpPr>
      <xdr:spPr>
        <a:xfrm>
          <a:off x="609600" y="6286501"/>
          <a:ext cx="4343400" cy="370522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In establishing the 2014-2015 biennial conservation targets, the District used the utility specific analysis option allowed in WAC 194-37-070.  The District’s Conservation Potential Assessment methodology (Appendix H in the District’s 2013 IRP) is consistent with the Northwest Power and Conservation Council methodology.  It provides an up-to-date estimate of conservation potential based on the best available information and considers the unique characteristics of the District’s service area and customer make up.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District’s 2014-2015 energy conservation targets have been described, explained and reviewed in a larger discussion concerning the District’s 2013 Integrated Resource Plan (IRP) during an August 6, 2013 public meeting by the Snohomish County PUD Board of Commissioners.  Staff’s recommendation for 2014-2015 conservation targets was subsequently reviewed at a second noticed public meeting of the Board of Commissioners and the 2014-2015 targets were adopted by the Board in Resolution No. 5655 in a public meeting on November 19, 2013.   A copy of the resolution is attached.  The published notice for the November 19, 2013 meeting identified that adoption of the targets was on the agenda.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As a result of the 2013 IRP analysis, the District’s 2014-15 biennial target for compliance with the EIA is 13.3 aMW (busbar).  The biennial target for 2014-2015 is recognized to be at the portfolio level in order to allow the greatest flexibility for capturing market opportunities in any sector, with any customer, when and where it becomes available.  The associated ten-year conservation potential target is identified as 73.1 aMW (busbar).</a:t>
          </a:r>
        </a:p>
        <a:p>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3" name="TextBox 2"/>
        <xdr:cNvSpPr txBox="1"/>
      </xdr:nvSpPr>
      <xdr:spPr>
        <a:xfrm>
          <a:off x="4267200" y="3048000"/>
          <a:ext cx="609600" cy="1171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106</xdr:row>
      <xdr:rowOff>47625</xdr:rowOff>
    </xdr:to>
    <xdr:sp macro="" textlink="">
      <xdr:nvSpPr>
        <xdr:cNvPr id="2" name="TextBox 1"/>
        <xdr:cNvSpPr txBox="1"/>
      </xdr:nvSpPr>
      <xdr:spPr>
        <a:xfrm>
          <a:off x="180974" y="20135850"/>
          <a:ext cx="11229975" cy="1133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Attachment A shows </a:t>
          </a:r>
          <a:r>
            <a:rPr lang="en-US" sz="1100" baseline="0">
              <a:solidFill>
                <a:schemeClr val="dk1"/>
              </a:solidFill>
              <a:effectLst/>
              <a:latin typeface="+mn-lt"/>
              <a:ea typeface="+mn-ea"/>
              <a:cs typeface="+mn-cs"/>
            </a:rPr>
            <a:t>Resolution No. 5697 of the Snohomish County Public Utility District No. 1's Board of Commissioners passed on December  16, 2014.  Through this resolution  the Snohomish County PUD's 2015 Budget was approved, which includes the 2015 annual retail revenue requirement.  </a:t>
          </a:r>
          <a:endParaRPr lang="en-US">
            <a:effectLst/>
          </a:endParaRPr>
        </a:p>
        <a:p>
          <a:r>
            <a:rPr lang="en-US" sz="1100" baseline="0">
              <a:solidFill>
                <a:schemeClr val="dk1"/>
              </a:solidFill>
              <a:effectLst/>
              <a:latin typeface="+mn-lt"/>
              <a:ea typeface="+mn-ea"/>
              <a:cs typeface="+mn-cs"/>
            </a:rPr>
            <a:t>Attachment B provides Snohomish PUD's Annual Levelized Cost by resource, the Annual Levelized Cost of the alternate resource, and the PPI adjusted annual incremental cost by resource.  </a:t>
          </a:r>
          <a:endParaRPr lang="en-US">
            <a:effectLst/>
          </a:endParaRPr>
        </a:p>
        <a:p>
          <a:r>
            <a:rPr lang="en-US" sz="1100" baseline="0">
              <a:solidFill>
                <a:schemeClr val="dk1"/>
              </a:solidFill>
              <a:effectLst/>
              <a:latin typeface="+mn-lt"/>
              <a:ea typeface="+mn-ea"/>
              <a:cs typeface="+mn-cs"/>
            </a:rPr>
            <a:t>Attachment C describes the steps Snohomish PUD followed to perform its calculation.  </a:t>
          </a:r>
          <a:endParaRPr lang="en-US">
            <a:effectLst/>
          </a:endParaRPr>
        </a:p>
        <a:p>
          <a:r>
            <a:rPr lang="en-US" sz="1100" baseline="0">
              <a:solidFill>
                <a:schemeClr val="dk1"/>
              </a:solidFill>
              <a:effectLst/>
              <a:latin typeface="+mn-lt"/>
              <a:ea typeface="+mn-ea"/>
              <a:cs typeface="+mn-cs"/>
            </a:rPr>
            <a:t>Attachment D provides the PPI table used to calculate the annual inflation as required by WAC 194-37-170 (2).  </a:t>
          </a:r>
          <a:endParaRPr lang="en-US"/>
        </a:p>
      </xdr:txBody>
    </xdr:sp>
    <xdr:clientData/>
  </xdr:twoCellAnchor>
  <xdr:twoCellAnchor>
    <xdr:from>
      <xdr:col>0</xdr:col>
      <xdr:colOff>161925</xdr:colOff>
      <xdr:row>109</xdr:row>
      <xdr:rowOff>104775</xdr:rowOff>
    </xdr:from>
    <xdr:to>
      <xdr:col>14</xdr:col>
      <xdr:colOff>647701</xdr:colOff>
      <xdr:row>135</xdr:row>
      <xdr:rowOff>38100</xdr:rowOff>
    </xdr:to>
    <xdr:sp macro="" textlink="">
      <xdr:nvSpPr>
        <xdr:cNvPr id="3" name="TextBox 2">
          <a:hlinkClick xmlns:r="http://schemas.openxmlformats.org/officeDocument/2006/relationships" r:id="rId1"/>
        </xdr:cNvPr>
        <xdr:cNvSpPr txBox="1"/>
      </xdr:nvSpPr>
      <xdr:spPr>
        <a:xfrm>
          <a:off x="161925" y="21812250"/>
          <a:ext cx="11287126" cy="41433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effectLst/>
              <a:latin typeface="+mn-lt"/>
              <a:ea typeface="+mn-ea"/>
              <a:cs typeface="+mn-cs"/>
            </a:rPr>
            <a:t>A) Annual loads </a:t>
          </a:r>
          <a:r>
            <a:rPr lang="en-US" sz="1100" b="0">
              <a:solidFill>
                <a:schemeClr val="dk1"/>
              </a:solidFill>
              <a:effectLst/>
              <a:latin typeface="+mn-lt"/>
              <a:ea typeface="+mn-ea"/>
              <a:cs typeface="+mn-cs"/>
            </a:rPr>
            <a:t>are </a:t>
          </a:r>
          <a:r>
            <a:rPr lang="en-US" sz="1100">
              <a:solidFill>
                <a:schemeClr val="dk1"/>
              </a:solidFill>
              <a:effectLst/>
              <a:latin typeface="+mn-lt"/>
              <a:ea typeface="+mn-ea"/>
              <a:cs typeface="+mn-cs"/>
            </a:rPr>
            <a:t>from</a:t>
          </a:r>
          <a:r>
            <a:rPr lang="en-US" sz="1100" baseline="0">
              <a:solidFill>
                <a:schemeClr val="dk1"/>
              </a:solidFill>
              <a:effectLst/>
              <a:latin typeface="+mn-lt"/>
              <a:ea typeface="+mn-ea"/>
              <a:cs typeface="+mn-cs"/>
            </a:rPr>
            <a:t> Snohomish County PUD No.1's 2014 Annual Report Page 52, Annual Retail Sales are computed by taking total MWhs sold less wholesale power sales.  The Snohomish 2014 Annual Report can be found at:  </a:t>
          </a:r>
          <a:r>
            <a:rPr lang="en-US" sz="1100" u="sng" baseline="0">
              <a:solidFill>
                <a:srgbClr val="00B0F0"/>
              </a:solidFill>
              <a:effectLst/>
              <a:latin typeface="+mn-lt"/>
              <a:ea typeface="+mn-ea"/>
              <a:cs typeface="+mn-cs"/>
            </a:rPr>
            <a:t>2014 Annual Report</a:t>
          </a:r>
        </a:p>
        <a:p>
          <a:r>
            <a:rPr lang="en-US" sz="1100" b="1" baseline="0">
              <a:solidFill>
                <a:schemeClr val="dk1"/>
              </a:solidFill>
              <a:effectLst/>
              <a:latin typeface="+mn-lt"/>
              <a:ea typeface="+mn-ea"/>
              <a:cs typeface="+mn-cs"/>
            </a:rPr>
            <a:t>B) "Renewable Resources" table </a:t>
          </a:r>
          <a:r>
            <a:rPr lang="en-US" sz="1100" b="0" baseline="0">
              <a:solidFill>
                <a:schemeClr val="dk1"/>
              </a:solidFill>
              <a:effectLst/>
              <a:latin typeface="+mn-lt"/>
              <a:ea typeface="+mn-ea"/>
              <a:cs typeface="+mn-cs"/>
            </a:rPr>
            <a:t>(p.2) includes  renewable resources Snohomish PUD has acquired/contracted for prior to January 1, 2015.  Megawatt hour production ifor 2015 includes actual metered generation through March 2015 and </a:t>
          </a:r>
          <a:r>
            <a:rPr lang="en-US" sz="1100" baseline="0">
              <a:solidFill>
                <a:schemeClr val="dk1"/>
              </a:solidFill>
              <a:effectLst/>
              <a:latin typeface="+mn-lt"/>
              <a:ea typeface="+mn-ea"/>
              <a:cs typeface="+mn-cs"/>
            </a:rPr>
            <a:t>budget projections  for the April 2015 through Dec 2015 period.</a:t>
          </a:r>
          <a:r>
            <a:rPr lang="en-US" sz="1100" b="0" baseline="0">
              <a:solidFill>
                <a:schemeClr val="dk1"/>
              </a:solidFill>
              <a:effectLst/>
              <a:latin typeface="+mn-lt"/>
              <a:ea typeface="+mn-ea"/>
              <a:cs typeface="+mn-cs"/>
            </a:rPr>
            <a:t> </a:t>
          </a:r>
          <a:endParaRPr lang="en-US">
            <a:effectLst/>
          </a:endParaRPr>
        </a:p>
        <a:p>
          <a:r>
            <a:rPr lang="en-US" sz="1100" b="1" baseline="0">
              <a:solidFill>
                <a:schemeClr val="dk1"/>
              </a:solidFill>
              <a:effectLst/>
              <a:latin typeface="+mn-lt"/>
              <a:ea typeface="+mn-ea"/>
              <a:cs typeface="+mn-cs"/>
            </a:rPr>
            <a:t>C) "Renewable Energy Credits" table </a:t>
          </a:r>
          <a:r>
            <a:rPr lang="en-US" sz="1100" b="0" baseline="0">
              <a:solidFill>
                <a:schemeClr val="dk1"/>
              </a:solidFill>
              <a:effectLst/>
              <a:latin typeface="+mn-lt"/>
              <a:ea typeface="+mn-ea"/>
              <a:cs typeface="+mn-cs"/>
            </a:rPr>
            <a:t>(p.3) includes a forecast of BPA allocated Tier 1 System RECs for 2015, RECs forecast to be acquired from the  Snohomish PUD's Solar Express projects, REC multiplier equivalents, as well as vintage 2014 RECs carried over from the Hay Canyon wind project and the BPA Tier 1 System RECs allocation.</a:t>
          </a:r>
          <a:endParaRPr lang="en-US">
            <a:effectLst/>
          </a:endParaRPr>
        </a:p>
        <a:p>
          <a:r>
            <a:rPr lang="en-US" sz="1100" b="1" baseline="0">
              <a:solidFill>
                <a:schemeClr val="dk1"/>
              </a:solidFill>
              <a:effectLst/>
              <a:latin typeface="+mn-lt"/>
              <a:ea typeface="+mn-ea"/>
              <a:cs typeface="+mn-cs"/>
            </a:rPr>
            <a:t>D) "BPA Tier 1" </a:t>
          </a:r>
          <a:r>
            <a:rPr lang="en-US" sz="1100" b="0" baseline="0">
              <a:solidFill>
                <a:schemeClr val="dk1"/>
              </a:solidFill>
              <a:effectLst/>
              <a:latin typeface="+mn-lt"/>
              <a:ea typeface="+mn-ea"/>
              <a:cs typeface="+mn-cs"/>
            </a:rPr>
            <a:t>(p.3) refers to allocated RECs from the Bonneville Power Administration's Tier 1 System in accordance with Snohomish PUD's BPA Regional Dialogue power supply contract.  The 2014 estimate is based on  the actual 2013 RECs transferred to Snohomish PUD from BPA. </a:t>
          </a:r>
          <a:endParaRPr lang="en-US">
            <a:effectLst/>
          </a:endParaRPr>
        </a:p>
        <a:p>
          <a:pPr eaLnBrk="1" fontAlgn="auto" latinLnBrk="0" hangingPunct="1"/>
          <a:r>
            <a:rPr lang="en-US" sz="1100" b="1" baseline="0">
              <a:solidFill>
                <a:schemeClr val="dk1"/>
              </a:solidFill>
              <a:effectLst/>
              <a:latin typeface="+mn-lt"/>
              <a:ea typeface="+mn-ea"/>
              <a:cs typeface="+mn-cs"/>
            </a:rPr>
            <a:t>E) "</a:t>
          </a:r>
          <a:r>
            <a:rPr lang="en-US" sz="1100" b="1">
              <a:solidFill>
                <a:schemeClr val="dk1"/>
              </a:solidFill>
              <a:effectLst/>
              <a:latin typeface="+mn-lt"/>
              <a:ea typeface="+mn-ea"/>
              <a:cs typeface="+mn-cs"/>
            </a:rPr>
            <a:t>Snohomish PUD Solar Express Projects"</a:t>
          </a:r>
          <a:r>
            <a:rPr lang="en-US" sz="1100" b="0">
              <a:solidFill>
                <a:schemeClr val="dk1"/>
              </a:solidFill>
              <a:effectLst/>
              <a:latin typeface="+mn-lt"/>
              <a:ea typeface="+mn-ea"/>
              <a:cs typeface="+mn-cs"/>
            </a:rPr>
            <a:t> </a:t>
          </a:r>
          <a:r>
            <a:rPr lang="en-US" sz="1100" b="0" baseline="0">
              <a:solidFill>
                <a:schemeClr val="dk1"/>
              </a:solidFill>
              <a:effectLst/>
              <a:latin typeface="+mn-lt"/>
              <a:ea typeface="+mn-ea"/>
              <a:cs typeface="+mn-cs"/>
            </a:rPr>
            <a:t>(p.2) </a:t>
          </a:r>
          <a:r>
            <a:rPr lang="en-US" sz="1100" baseline="0">
              <a:solidFill>
                <a:schemeClr val="dk1"/>
              </a:solidFill>
              <a:effectLst/>
              <a:latin typeface="+mn-lt"/>
              <a:ea typeface="+mn-ea"/>
              <a:cs typeface="+mn-cs"/>
            </a:rPr>
            <a:t>refer to customer-owned solar photovoltaic (PV) projects that have been incentivized through the Snohomish PUD's Solar Express Program.  Customers with solar PV systems enrolled in the Solar Express Program agree, as a condition of receiving a program incentive, that Snohomish PUD owns all RECs .  These RECs qualify for the 2X distributed generation multiplier.</a:t>
          </a:r>
          <a:endParaRPr lang="en-US">
            <a:effectLst/>
          </a:endParaRPr>
        </a:p>
        <a:p>
          <a:r>
            <a:rPr lang="en-US" sz="1100" b="1" baseline="0">
              <a:solidFill>
                <a:schemeClr val="dk1"/>
              </a:solidFill>
              <a:effectLst/>
              <a:latin typeface="+mn-lt"/>
              <a:ea typeface="+mn-ea"/>
              <a:cs typeface="+mn-cs"/>
            </a:rPr>
            <a:t>F) "Woods Creek Hydroelectric Project</a:t>
          </a:r>
          <a:r>
            <a:rPr lang="en-US" sz="1100" b="0" baseline="0">
              <a:solidFill>
                <a:schemeClr val="dk1"/>
              </a:solidFill>
              <a:effectLst/>
              <a:latin typeface="+mn-lt"/>
              <a:ea typeface="+mn-ea"/>
              <a:cs typeface="+mn-cs"/>
            </a:rPr>
            <a:t>" (p.2) </a:t>
          </a:r>
          <a:r>
            <a:rPr lang="en-US" sz="1100" baseline="0">
              <a:solidFill>
                <a:schemeClr val="dk1"/>
              </a:solidFill>
              <a:effectLst/>
              <a:latin typeface="+mn-lt"/>
              <a:ea typeface="+mn-ea"/>
              <a:cs typeface="+mn-cs"/>
            </a:rPr>
            <a:t>refers to the incremental electricity produced by the 0.65 megawatt (MW) Woods Creek Hydroelectric Project located in Snohomish County, WA.  </a:t>
          </a:r>
          <a:endParaRPr lang="en-US">
            <a:effectLst/>
          </a:endParaRPr>
        </a:p>
        <a:p>
          <a:r>
            <a:rPr lang="en-US" sz="1100" b="1" baseline="0">
              <a:solidFill>
                <a:schemeClr val="dk1"/>
              </a:solidFill>
              <a:effectLst/>
              <a:latin typeface="+mn-lt"/>
              <a:ea typeface="+mn-ea"/>
              <a:cs typeface="+mn-cs"/>
            </a:rPr>
            <a:t>G) "Hampton Generating Unit"</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(p.2)</a:t>
          </a:r>
          <a:r>
            <a:rPr lang="en-US" sz="1100" b="1" baseline="0">
              <a:solidFill>
                <a:schemeClr val="dk1"/>
              </a:solidFill>
              <a:effectLst/>
              <a:latin typeface="+mn-lt"/>
              <a:ea typeface="+mn-ea"/>
              <a:cs typeface="+mn-cs"/>
            </a:rPr>
            <a:t> </a:t>
          </a:r>
          <a:r>
            <a:rPr lang="en-US" sz="1100" baseline="0">
              <a:solidFill>
                <a:schemeClr val="dk1"/>
              </a:solidFill>
              <a:effectLst/>
              <a:latin typeface="+mn-lt"/>
              <a:ea typeface="+mn-ea"/>
              <a:cs typeface="+mn-cs"/>
            </a:rPr>
            <a:t>refers to the 4.5 MW biomass generating unit located in Darrington, Washington.   Snohomish PUD contracts for 100% of the energy and RECs through a long-term power purchase agreement (PPA) executed on 8/7/06 and subsequently amended 12/1/11. This project qualifies for the 2X distributed generation multiplier.</a:t>
          </a:r>
          <a:endParaRPr lang="en-US">
            <a:effectLst/>
          </a:endParaRPr>
        </a:p>
        <a:p>
          <a:r>
            <a:rPr lang="en-US" sz="1100" b="1" baseline="0">
              <a:solidFill>
                <a:schemeClr val="dk1"/>
              </a:solidFill>
              <a:effectLst/>
              <a:latin typeface="+mn-lt"/>
              <a:ea typeface="+mn-ea"/>
              <a:cs typeface="+mn-cs"/>
            </a:rPr>
            <a:t>H) "</a:t>
          </a:r>
          <a:r>
            <a:rPr lang="en-US" sz="1100" b="1">
              <a:solidFill>
                <a:schemeClr val="dk1"/>
              </a:solidFill>
              <a:effectLst/>
              <a:latin typeface="+mn-lt"/>
              <a:ea typeface="+mn-ea"/>
              <a:cs typeface="+mn-cs"/>
            </a:rPr>
            <a:t>Hay Canyon Wind Facility"</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(p.2) </a:t>
          </a:r>
          <a:r>
            <a:rPr lang="en-US" sz="1100">
              <a:solidFill>
                <a:schemeClr val="dk1"/>
              </a:solidFill>
              <a:effectLst/>
              <a:latin typeface="+mn-lt"/>
              <a:ea typeface="+mn-ea"/>
              <a:cs typeface="+mn-cs"/>
            </a:rPr>
            <a:t>refers to a wind facility </a:t>
          </a:r>
          <a:r>
            <a:rPr lang="en-US" sz="1100" baseline="0">
              <a:solidFill>
                <a:schemeClr val="dk1"/>
              </a:solidFill>
              <a:effectLst/>
              <a:latin typeface="+mn-lt"/>
              <a:ea typeface="+mn-ea"/>
              <a:cs typeface="+mn-cs"/>
            </a:rPr>
            <a:t>located in Sherman County, Oregon.  Reference WREGIS Generating Unit (GU) ID # W978.  Snohomish PUD contracts for 100% of the energy and RECs through two long-term PPAs executed on 2/2/09.</a:t>
          </a:r>
          <a:endParaRPr lang="en-US">
            <a:effectLst/>
          </a:endParaRPr>
        </a:p>
        <a:p>
          <a:r>
            <a:rPr lang="en-US" sz="1100" b="1" baseline="0">
              <a:solidFill>
                <a:schemeClr val="dk1"/>
              </a:solidFill>
              <a:effectLst/>
              <a:latin typeface="+mn-lt"/>
              <a:ea typeface="+mn-ea"/>
              <a:cs typeface="+mn-cs"/>
            </a:rPr>
            <a:t>I) "</a:t>
          </a:r>
          <a:r>
            <a:rPr lang="en-US" sz="1100" b="1">
              <a:solidFill>
                <a:schemeClr val="dk1"/>
              </a:solidFill>
              <a:effectLst/>
              <a:latin typeface="+mn-lt"/>
              <a:ea typeface="+mn-ea"/>
              <a:cs typeface="+mn-cs"/>
            </a:rPr>
            <a:t>Wheat Field Wind Power Project"</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a:solidFill>
                <a:schemeClr val="dk1"/>
              </a:solidFill>
              <a:effectLst/>
              <a:latin typeface="+mn-lt"/>
              <a:ea typeface="+mn-ea"/>
              <a:cs typeface="+mn-cs"/>
            </a:rPr>
            <a:t>is located in Gilliam County,</a:t>
          </a:r>
          <a:r>
            <a:rPr lang="en-US" sz="1100" baseline="0">
              <a:solidFill>
                <a:schemeClr val="dk1"/>
              </a:solidFill>
              <a:effectLst/>
              <a:latin typeface="+mn-lt"/>
              <a:ea typeface="+mn-ea"/>
              <a:cs typeface="+mn-cs"/>
            </a:rPr>
            <a:t> Oregon.  R</a:t>
          </a:r>
          <a:r>
            <a:rPr lang="en-US" sz="1100">
              <a:solidFill>
                <a:schemeClr val="dk1"/>
              </a:solidFill>
              <a:effectLst/>
              <a:latin typeface="+mn-lt"/>
              <a:ea typeface="+mn-ea"/>
              <a:cs typeface="+mn-cs"/>
            </a:rPr>
            <a:t>eference WREGIS GU</a:t>
          </a:r>
          <a:r>
            <a:rPr lang="en-US" sz="1100" baseline="0">
              <a:solidFill>
                <a:schemeClr val="dk1"/>
              </a:solidFill>
              <a:effectLst/>
              <a:latin typeface="+mn-lt"/>
              <a:ea typeface="+mn-ea"/>
              <a:cs typeface="+mn-cs"/>
            </a:rPr>
            <a:t> ID# W806.  Snohomish PUD contracts for  100% of the energy and RECs through a long-term PPA executed on 8/26/08.</a:t>
          </a:r>
          <a:endParaRPr lang="en-US">
            <a:effectLst/>
          </a:endParaRPr>
        </a:p>
        <a:p>
          <a:r>
            <a:rPr lang="en-US" sz="1100" b="1" baseline="0">
              <a:solidFill>
                <a:schemeClr val="dk1"/>
              </a:solidFill>
              <a:effectLst/>
              <a:latin typeface="+mn-lt"/>
              <a:ea typeface="+mn-ea"/>
              <a:cs typeface="+mn-cs"/>
            </a:rPr>
            <a:t>J) "</a:t>
          </a:r>
          <a:r>
            <a:rPr lang="en-US" sz="1100" b="1">
              <a:solidFill>
                <a:schemeClr val="dk1"/>
              </a:solidFill>
              <a:effectLst/>
              <a:latin typeface="+mn-lt"/>
              <a:ea typeface="+mn-ea"/>
              <a:cs typeface="+mn-cs"/>
            </a:rPr>
            <a:t>White Creek Wind Project"</a:t>
          </a:r>
          <a:r>
            <a:rPr lang="en-US" sz="1100" baseline="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baseline="0">
              <a:solidFill>
                <a:schemeClr val="dk1"/>
              </a:solidFill>
              <a:effectLst/>
              <a:latin typeface="+mn-lt"/>
              <a:ea typeface="+mn-ea"/>
              <a:cs typeface="+mn-cs"/>
            </a:rPr>
            <a:t>is located in Klickitat County, Washington.  Reference WREGIS Generating Unit (GU) ID # W360.  Snohomish PUD contracts for a 20 MW capacity share of the project that includes both energy and RECs, through a long-term PPA executed on 5/10/07.</a:t>
          </a:r>
          <a:endParaRPr lang="en-US">
            <a:effectLst/>
          </a:endParaRPr>
        </a:p>
        <a:p>
          <a:r>
            <a:rPr lang="en-US" sz="1100" b="1">
              <a:solidFill>
                <a:schemeClr val="dk1"/>
              </a:solidFill>
              <a:effectLst/>
              <a:latin typeface="+mn-lt"/>
              <a:ea typeface="+mn-ea"/>
              <a:cs typeface="+mn-cs"/>
            </a:rPr>
            <a:t>K) "Qualco Energy Corporation" </a:t>
          </a:r>
          <a:r>
            <a:rPr lang="en-US" sz="1100" b="0">
              <a:solidFill>
                <a:schemeClr val="dk1"/>
              </a:solidFill>
              <a:effectLst/>
              <a:latin typeface="+mn-lt"/>
              <a:ea typeface="+mn-ea"/>
              <a:cs typeface="+mn-cs"/>
            </a:rPr>
            <a:t>(p.2)</a:t>
          </a:r>
          <a:r>
            <a:rPr lang="en-US" sz="1100" b="0" baseline="0">
              <a:solidFill>
                <a:schemeClr val="dk1"/>
              </a:solidFill>
              <a:effectLst/>
              <a:latin typeface="+mn-lt"/>
              <a:ea typeface="+mn-ea"/>
              <a:cs typeface="+mn-cs"/>
            </a:rPr>
            <a:t> </a:t>
          </a:r>
          <a:r>
            <a:rPr lang="en-US" sz="1100" baseline="0">
              <a:solidFill>
                <a:schemeClr val="dk1"/>
              </a:solidFill>
              <a:effectLst/>
              <a:latin typeface="+mn-lt"/>
              <a:ea typeface="+mn-ea"/>
              <a:cs typeface="+mn-cs"/>
            </a:rPr>
            <a:t>refers to the .45 MW bio-digester generating unit located in Monroe, Washington.   Snohomish PUD contracts for  100% of the energy and RECs through a long-term PPA executed on 12/26/2013. This project qualifies for the 2x distributed generation multiplier.</a:t>
          </a:r>
          <a:endParaRPr lang="en-US">
            <a:effectLst/>
          </a:endParaRPr>
        </a:p>
        <a:p>
          <a:endParaRPr lang="en-US" u="sng">
            <a:solidFill>
              <a:srgbClr val="00B0F0"/>
            </a:solidFill>
          </a:endParaRPr>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619125</xdr:colOff>
          <xdr:row>102</xdr:row>
          <xdr:rowOff>180975</xdr:rowOff>
        </xdr:from>
        <xdr:to>
          <xdr:col>11</xdr:col>
          <xdr:colOff>276225</xdr:colOff>
          <xdr:row>105</xdr:row>
          <xdr:rowOff>142875</xdr:rowOff>
        </xdr:to>
        <xdr:sp macro="" textlink="">
          <xdr:nvSpPr>
            <xdr:cNvPr id="5451" name="Object 331" hidden="1">
              <a:extLst>
                <a:ext uri="{63B3BB69-23CF-44E3-9099-C40C66FF867C}">
                  <a14:compatExt spid="_x0000_s545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152400</xdr:rowOff>
    </xdr:to>
    <xdr:sp macro="" textlink="">
      <xdr:nvSpPr>
        <xdr:cNvPr id="2" name="TextBox 1"/>
        <xdr:cNvSpPr txBox="1"/>
      </xdr:nvSpPr>
      <xdr:spPr>
        <a:xfrm>
          <a:off x="180975" y="12611100"/>
          <a:ext cx="10296526"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Attachment A shows </a:t>
          </a:r>
          <a:r>
            <a:rPr lang="en-US" sz="1100" baseline="0">
              <a:solidFill>
                <a:schemeClr val="dk1"/>
              </a:solidFill>
              <a:effectLst/>
              <a:latin typeface="+mn-lt"/>
              <a:ea typeface="+mn-ea"/>
              <a:cs typeface="+mn-cs"/>
            </a:rPr>
            <a:t>Resolution No. 5697 of the Snohomish County Public Utility District No. 1's Board of Commissioners  approved on December  16, 2014.  Through this resolution  the Snohomish County PUD's 2015 Budget was approved, which includes the 2015 annual retail revenue requirement.  </a:t>
          </a:r>
          <a:endParaRPr lang="en-US">
            <a:effectLst/>
          </a:endParaRPr>
        </a:p>
        <a:p>
          <a:r>
            <a:rPr lang="en-US" sz="1100" baseline="0">
              <a:solidFill>
                <a:schemeClr val="dk1"/>
              </a:solidFill>
              <a:effectLst/>
              <a:latin typeface="+mn-lt"/>
              <a:ea typeface="+mn-ea"/>
              <a:cs typeface="+mn-cs"/>
            </a:rPr>
            <a:t>Attachment B provides Snohomish PUD's Annual Levelized Cost by resource, the Annual Levelized Cost of the alternate resource, and the PPI adjusted annual incremental cost by resource.  </a:t>
          </a:r>
          <a:endParaRPr lang="en-US">
            <a:effectLst/>
          </a:endParaRPr>
        </a:p>
        <a:p>
          <a:r>
            <a:rPr lang="en-US" sz="1100" baseline="0">
              <a:solidFill>
                <a:schemeClr val="dk1"/>
              </a:solidFill>
              <a:effectLst/>
              <a:latin typeface="+mn-lt"/>
              <a:ea typeface="+mn-ea"/>
              <a:cs typeface="+mn-cs"/>
            </a:rPr>
            <a:t>Attachment C describes the steps Snohomish PUD followed to perform its calculation.  </a:t>
          </a:r>
          <a:endParaRPr lang="en-US">
            <a:effectLst/>
          </a:endParaRPr>
        </a:p>
        <a:p>
          <a:r>
            <a:rPr lang="en-US" sz="1100" baseline="0">
              <a:solidFill>
                <a:schemeClr val="dk1"/>
              </a:solidFill>
              <a:effectLst/>
              <a:latin typeface="+mn-lt"/>
              <a:ea typeface="+mn-ea"/>
              <a:cs typeface="+mn-cs"/>
            </a:rPr>
            <a:t>Attachment D provides the PPI table used to calculate the annual inflation as required by WAC 194-37-170 (2).  </a:t>
          </a:r>
          <a:endParaRPr lang="en-US">
            <a:effectLst/>
          </a:endParaRPr>
        </a:p>
        <a:p>
          <a:endParaRPr lang="en-US"/>
        </a:p>
      </xdr:txBody>
    </xdr:sp>
    <xdr:clientData/>
  </xdr:twoCellAnchor>
  <mc:AlternateContent xmlns:mc="http://schemas.openxmlformats.org/markup-compatibility/2006">
    <mc:Choice xmlns:a14="http://schemas.microsoft.com/office/drawing/2010/main" Requires="a14">
      <xdr:twoCellAnchor editAs="oneCell">
        <xdr:from>
          <xdr:col>3</xdr:col>
          <xdr:colOff>590550</xdr:colOff>
          <xdr:row>70</xdr:row>
          <xdr:rowOff>85725</xdr:rowOff>
        </xdr:from>
        <xdr:to>
          <xdr:col>5</xdr:col>
          <xdr:colOff>57150</xdr:colOff>
          <xdr:row>73</xdr:row>
          <xdr:rowOff>104775</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jamitchell@snopud.com" TargetMode="Externa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drawing" Target="../drawings/drawing2.xml"/><Relationship Id="rId7" Type="http://schemas.openxmlformats.org/officeDocument/2006/relationships/ctrlProp" Target="../ctrlProps/ctrlProp1.xml"/><Relationship Id="rId2" Type="http://schemas.openxmlformats.org/officeDocument/2006/relationships/printerSettings" Target="../printerSettings/printerSettings4.bin"/><Relationship Id="rId1" Type="http://schemas.openxmlformats.org/officeDocument/2006/relationships/hyperlink" Target="mailto:AJBerg@snopud.com"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 Id="rId9"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workbookViewId="0"/>
  </sheetViews>
  <sheetFormatPr defaultRowHeight="15" x14ac:dyDescent="0.25"/>
  <cols>
    <col min="1" max="1" width="135.140625" customWidth="1"/>
    <col min="14" max="14" width="11.7109375" customWidth="1"/>
  </cols>
  <sheetData>
    <row r="1" spans="1:14" ht="18.75" x14ac:dyDescent="0.25">
      <c r="A1" s="75" t="s">
        <v>107</v>
      </c>
    </row>
    <row r="2" spans="1:14" x14ac:dyDescent="0.25">
      <c r="A2" s="92" t="s">
        <v>119</v>
      </c>
    </row>
    <row r="3" spans="1:14" x14ac:dyDescent="0.25">
      <c r="A3" s="76"/>
      <c r="N3" s="91"/>
    </row>
    <row r="4" spans="1:14" x14ac:dyDescent="0.25">
      <c r="A4" s="77" t="s">
        <v>120</v>
      </c>
    </row>
    <row r="5" spans="1:14" x14ac:dyDescent="0.25">
      <c r="A5" s="77" t="s">
        <v>189</v>
      </c>
      <c r="N5">
        <f>IF(REN_Load_2013+REN_Load_2014&gt;0,AVERAGE(REN_Load_2013,REN_Load_2014),0)</f>
        <v>6515408.5</v>
      </c>
    </row>
    <row r="6" spans="1:14" x14ac:dyDescent="0.25">
      <c r="A6" s="78" t="s">
        <v>108</v>
      </c>
    </row>
    <row r="7" spans="1:14" x14ac:dyDescent="0.25">
      <c r="A7" s="76"/>
    </row>
    <row r="8" spans="1:14" ht="57" x14ac:dyDescent="0.25">
      <c r="A8" s="79" t="s">
        <v>178</v>
      </c>
    </row>
    <row r="9" spans="1:14" x14ac:dyDescent="0.25">
      <c r="A9" s="79"/>
    </row>
    <row r="10" spans="1:14" x14ac:dyDescent="0.25">
      <c r="A10" s="80" t="s">
        <v>179</v>
      </c>
    </row>
    <row r="11" spans="1:14" x14ac:dyDescent="0.25">
      <c r="A11" s="80"/>
    </row>
    <row r="12" spans="1:14" x14ac:dyDescent="0.25">
      <c r="A12" s="147" t="s">
        <v>180</v>
      </c>
    </row>
    <row r="13" spans="1:14" x14ac:dyDescent="0.25">
      <c r="A13" s="148" t="s">
        <v>181</v>
      </c>
    </row>
    <row r="14" spans="1:14" ht="44.25" x14ac:dyDescent="0.25">
      <c r="A14" s="81" t="s">
        <v>182</v>
      </c>
    </row>
    <row r="15" spans="1:14" x14ac:dyDescent="0.25">
      <c r="A15" s="76"/>
    </row>
    <row r="16" spans="1:14" ht="29.25" x14ac:dyDescent="0.25">
      <c r="A16" s="78" t="s">
        <v>109</v>
      </c>
    </row>
    <row r="17" spans="1:1" x14ac:dyDescent="0.25">
      <c r="A17" s="76"/>
    </row>
    <row r="18" spans="1:1" ht="18.75" x14ac:dyDescent="0.25">
      <c r="A18" s="82" t="s">
        <v>110</v>
      </c>
    </row>
    <row r="19" spans="1:1" ht="57.75" customHeight="1" x14ac:dyDescent="0.25">
      <c r="A19" s="77" t="s">
        <v>123</v>
      </c>
    </row>
    <row r="20" spans="1:1" x14ac:dyDescent="0.25">
      <c r="A20" s="76"/>
    </row>
    <row r="21" spans="1:1" x14ac:dyDescent="0.25">
      <c r="A21" s="83" t="s">
        <v>111</v>
      </c>
    </row>
    <row r="22" spans="1:1" ht="29.25" x14ac:dyDescent="0.25">
      <c r="A22" s="84" t="s">
        <v>157</v>
      </c>
    </row>
    <row r="23" spans="1:1" x14ac:dyDescent="0.25">
      <c r="A23" s="76"/>
    </row>
    <row r="24" spans="1:1" ht="43.5" x14ac:dyDescent="0.25">
      <c r="A24" s="77" t="s">
        <v>158</v>
      </c>
    </row>
    <row r="25" spans="1:1" x14ac:dyDescent="0.25">
      <c r="A25" s="85"/>
    </row>
    <row r="26" spans="1:1" ht="42.75" x14ac:dyDescent="0.25">
      <c r="A26" s="81" t="s">
        <v>112</v>
      </c>
    </row>
    <row r="27" spans="1:1" x14ac:dyDescent="0.25">
      <c r="A27" s="76"/>
    </row>
    <row r="28" spans="1:1" ht="43.5" x14ac:dyDescent="0.25">
      <c r="A28" s="78" t="s">
        <v>183</v>
      </c>
    </row>
    <row r="29" spans="1:1" x14ac:dyDescent="0.25">
      <c r="A29" s="76"/>
    </row>
    <row r="30" spans="1:1" x14ac:dyDescent="0.25">
      <c r="A30" s="78" t="s">
        <v>184</v>
      </c>
    </row>
    <row r="31" spans="1:1" x14ac:dyDescent="0.25">
      <c r="A31" s="76"/>
    </row>
    <row r="32" spans="1:1" ht="18.75" x14ac:dyDescent="0.25">
      <c r="A32" s="82" t="s">
        <v>113</v>
      </c>
    </row>
    <row r="33" spans="1:1" ht="42.75" x14ac:dyDescent="0.25">
      <c r="A33" s="81" t="s">
        <v>114</v>
      </c>
    </row>
    <row r="34" spans="1:1" x14ac:dyDescent="0.25">
      <c r="A34" s="76"/>
    </row>
    <row r="35" spans="1:1" ht="43.5" x14ac:dyDescent="0.25">
      <c r="A35" s="78" t="s">
        <v>185</v>
      </c>
    </row>
    <row r="36" spans="1:1" x14ac:dyDescent="0.25">
      <c r="A36" s="76"/>
    </row>
    <row r="37" spans="1:1" ht="43.5" x14ac:dyDescent="0.25">
      <c r="A37" s="78" t="s">
        <v>115</v>
      </c>
    </row>
    <row r="38" spans="1:1" x14ac:dyDescent="0.25">
      <c r="A38" s="76"/>
    </row>
    <row r="39" spans="1:1" ht="43.5" x14ac:dyDescent="0.25">
      <c r="A39" s="78" t="s">
        <v>186</v>
      </c>
    </row>
    <row r="40" spans="1:1" x14ac:dyDescent="0.25">
      <c r="A40" s="76"/>
    </row>
    <row r="41" spans="1:1" x14ac:dyDescent="0.25">
      <c r="A41" s="77" t="s">
        <v>159</v>
      </c>
    </row>
    <row r="42" spans="1:1" ht="28.5" x14ac:dyDescent="0.25">
      <c r="A42" s="81" t="s">
        <v>161</v>
      </c>
    </row>
    <row r="43" spans="1:1" ht="43.5" x14ac:dyDescent="0.25">
      <c r="A43" s="81" t="s">
        <v>160</v>
      </c>
    </row>
    <row r="44" spans="1:1" x14ac:dyDescent="0.25">
      <c r="A44" s="76"/>
    </row>
    <row r="45" spans="1:1" ht="57.75" x14ac:dyDescent="0.25">
      <c r="A45" s="86" t="s">
        <v>187</v>
      </c>
    </row>
    <row r="46" spans="1:1" x14ac:dyDescent="0.25">
      <c r="A46" s="76"/>
    </row>
    <row r="47" spans="1:1" ht="74.25" customHeight="1" x14ac:dyDescent="0.25">
      <c r="A47" s="78" t="s">
        <v>188</v>
      </c>
    </row>
    <row r="48" spans="1:1" x14ac:dyDescent="0.25">
      <c r="A48" s="76"/>
    </row>
    <row r="49" spans="1:1" ht="57.75" x14ac:dyDescent="0.25">
      <c r="A49" s="78" t="s">
        <v>162</v>
      </c>
    </row>
    <row r="50" spans="1:1" x14ac:dyDescent="0.25">
      <c r="A50" s="76"/>
    </row>
    <row r="51" spans="1:1" x14ac:dyDescent="0.25">
      <c r="A51" s="77" t="s">
        <v>116</v>
      </c>
    </row>
    <row r="52" spans="1:1" ht="28.5" x14ac:dyDescent="0.25">
      <c r="A52" s="81" t="s">
        <v>163</v>
      </c>
    </row>
    <row r="53" spans="1:1" x14ac:dyDescent="0.25">
      <c r="A53" s="76"/>
    </row>
    <row r="54" spans="1:1" x14ac:dyDescent="0.25">
      <c r="A54" s="77" t="s">
        <v>117</v>
      </c>
    </row>
    <row r="55" spans="1:1" ht="28.5" x14ac:dyDescent="0.25">
      <c r="A55" s="81" t="s">
        <v>164</v>
      </c>
    </row>
    <row r="56" spans="1:1" x14ac:dyDescent="0.25">
      <c r="A56" s="76"/>
    </row>
    <row r="57" spans="1:1" ht="15.75" thickBot="1" x14ac:dyDescent="0.3">
      <c r="A57" s="87" t="s">
        <v>118</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1" sqref="A11"/>
    </sheetView>
  </sheetViews>
  <sheetFormatPr defaultRowHeight="15" x14ac:dyDescent="0.25"/>
  <cols>
    <col min="1" max="1" width="107" customWidth="1"/>
    <col min="14" max="14" width="11.7109375" customWidth="1"/>
  </cols>
  <sheetData>
    <row r="1" spans="1:14" ht="18.75" x14ac:dyDescent="0.25">
      <c r="A1" s="71" t="s">
        <v>190</v>
      </c>
    </row>
    <row r="2" spans="1:14" ht="18.75" x14ac:dyDescent="0.25">
      <c r="A2" s="72"/>
    </row>
    <row r="3" spans="1:14" ht="57" x14ac:dyDescent="0.25">
      <c r="A3" s="73" t="s">
        <v>191</v>
      </c>
      <c r="N3" s="91"/>
    </row>
    <row r="4" spans="1:14" x14ac:dyDescent="0.25">
      <c r="A4" s="73"/>
      <c r="N4" s="91"/>
    </row>
    <row r="5" spans="1:14" ht="86.25" x14ac:dyDescent="0.25">
      <c r="A5" s="73" t="s">
        <v>122</v>
      </c>
      <c r="N5" s="91"/>
    </row>
    <row r="6" spans="1:14" x14ac:dyDescent="0.25">
      <c r="A6" s="73"/>
    </row>
    <row r="7" spans="1:14" ht="29.25" thickBot="1" x14ac:dyDescent="0.3">
      <c r="A7" s="74" t="s">
        <v>121</v>
      </c>
      <c r="N7">
        <f>IF(REN_Load_2013+REN_Load_2014&gt;0,AVERAGE(REN_Load_2013,REN_Load_2014),0)</f>
        <v>6515408.5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M33"/>
  <sheetViews>
    <sheetView zoomScaleNormal="100" workbookViewId="0">
      <selection activeCell="J16" sqref="J16"/>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7" t="s">
        <v>125</v>
      </c>
    </row>
    <row r="2" spans="1:13" ht="15" customHeight="1" x14ac:dyDescent="0.2">
      <c r="B2" s="2"/>
    </row>
    <row r="3" spans="1:13" ht="14.25" customHeight="1" x14ac:dyDescent="0.2">
      <c r="B3" s="3" t="s">
        <v>4</v>
      </c>
      <c r="C3" s="169" t="s">
        <v>197</v>
      </c>
      <c r="D3" s="169"/>
      <c r="E3" s="169"/>
      <c r="M3" s="90"/>
    </row>
    <row r="4" spans="1:13" ht="15" customHeight="1" x14ac:dyDescent="0.2">
      <c r="B4" s="4" t="s">
        <v>65</v>
      </c>
      <c r="C4" s="170">
        <v>41789</v>
      </c>
      <c r="D4" s="171"/>
      <c r="E4" s="171"/>
      <c r="F4" s="13"/>
    </row>
    <row r="5" spans="1:13" ht="15" customHeight="1" x14ac:dyDescent="0.2">
      <c r="B5" s="5" t="s">
        <v>64</v>
      </c>
      <c r="C5" s="172" t="s">
        <v>230</v>
      </c>
      <c r="D5" s="173"/>
      <c r="E5" s="173"/>
      <c r="F5" s="7"/>
    </row>
    <row r="6" spans="1:13" ht="15" customHeight="1" x14ac:dyDescent="0.2">
      <c r="B6" s="5" t="s">
        <v>1</v>
      </c>
      <c r="C6" s="173" t="s">
        <v>229</v>
      </c>
      <c r="D6" s="173"/>
      <c r="E6" s="173"/>
      <c r="F6" s="7"/>
    </row>
    <row r="7" spans="1:13" ht="15" customHeight="1" x14ac:dyDescent="0.2">
      <c r="B7" s="5" t="s">
        <v>2</v>
      </c>
      <c r="C7" s="174" t="s">
        <v>228</v>
      </c>
      <c r="D7" s="175"/>
      <c r="E7" s="175"/>
      <c r="F7" s="7"/>
    </row>
    <row r="8" spans="1:13" ht="15" customHeight="1" thickBot="1" x14ac:dyDescent="0.25">
      <c r="B8" s="5"/>
      <c r="C8" s="58"/>
      <c r="D8" s="7"/>
      <c r="E8" s="7"/>
      <c r="F8" s="7"/>
    </row>
    <row r="9" spans="1:13" s="7" customFormat="1" ht="13.5" thickTop="1" x14ac:dyDescent="0.2">
      <c r="B9" s="162" t="s">
        <v>57</v>
      </c>
      <c r="C9" s="162"/>
      <c r="D9" s="162"/>
      <c r="E9" s="162"/>
      <c r="F9" s="163"/>
      <c r="G9" s="1"/>
      <c r="H9" s="1"/>
      <c r="I9" s="1"/>
      <c r="J9" s="1"/>
    </row>
    <row r="10" spans="1:13" s="7" customFormat="1" x14ac:dyDescent="0.2">
      <c r="B10" s="164"/>
      <c r="C10" s="164"/>
      <c r="D10" s="165" t="s">
        <v>59</v>
      </c>
      <c r="E10" s="165"/>
      <c r="G10" s="1"/>
      <c r="H10" s="1"/>
      <c r="I10" s="1"/>
      <c r="J10" s="1"/>
    </row>
    <row r="11" spans="1:13" ht="52.5" customHeight="1" x14ac:dyDescent="0.2">
      <c r="B11" s="7"/>
      <c r="C11" s="7"/>
      <c r="D11" s="93" t="s">
        <v>61</v>
      </c>
      <c r="E11" s="59" t="s">
        <v>60</v>
      </c>
    </row>
    <row r="12" spans="1:13" ht="15" customHeight="1" x14ac:dyDescent="0.2">
      <c r="D12" s="60">
        <v>640356</v>
      </c>
      <c r="E12" s="61">
        <v>116508</v>
      </c>
    </row>
    <row r="13" spans="1:13" ht="15" customHeight="1" thickBot="1" x14ac:dyDescent="0.25">
      <c r="B13" s="7"/>
      <c r="C13" s="7"/>
      <c r="D13" s="7"/>
      <c r="E13" s="7"/>
      <c r="F13" s="7"/>
      <c r="G13" s="7"/>
      <c r="H13" s="7"/>
    </row>
    <row r="14" spans="1:13" ht="13.5" thickTop="1" x14ac:dyDescent="0.2">
      <c r="B14" s="166" t="s">
        <v>3</v>
      </c>
      <c r="C14" s="166"/>
      <c r="D14" s="166"/>
      <c r="E14" s="166"/>
      <c r="F14" s="166"/>
      <c r="G14" s="166"/>
      <c r="H14" s="166"/>
    </row>
    <row r="15" spans="1:13" ht="15" customHeight="1" x14ac:dyDescent="0.2">
      <c r="A15" s="7"/>
      <c r="B15" s="15"/>
      <c r="D15" s="165" t="s">
        <v>124</v>
      </c>
      <c r="E15" s="165"/>
    </row>
    <row r="16" spans="1:13" ht="30.75" customHeight="1" x14ac:dyDescent="0.2">
      <c r="A16" s="7"/>
      <c r="C16" s="16" t="s">
        <v>42</v>
      </c>
      <c r="D16" s="14" t="s">
        <v>7</v>
      </c>
      <c r="E16" s="14" t="s">
        <v>8</v>
      </c>
    </row>
    <row r="17" spans="1:8" ht="15" customHeight="1" x14ac:dyDescent="0.2">
      <c r="A17" s="7"/>
      <c r="C17" s="30" t="s">
        <v>9</v>
      </c>
      <c r="D17" s="160">
        <v>34361.046033508632</v>
      </c>
      <c r="E17" s="120">
        <v>6477555.6399999987</v>
      </c>
    </row>
    <row r="18" spans="1:8" ht="15" customHeight="1" x14ac:dyDescent="0.2">
      <c r="A18" s="7"/>
      <c r="C18" s="30" t="s">
        <v>10</v>
      </c>
      <c r="D18" s="160">
        <v>35338.663346073605</v>
      </c>
      <c r="E18" s="120">
        <f>ROUNDDOWN(4729231.87,0)</f>
        <v>4729231</v>
      </c>
    </row>
    <row r="19" spans="1:8" ht="15" customHeight="1" x14ac:dyDescent="0.2">
      <c r="A19" s="7"/>
      <c r="C19" s="30" t="s">
        <v>11</v>
      </c>
      <c r="D19" s="160">
        <v>8710.1958451199989</v>
      </c>
      <c r="E19" s="120">
        <v>1426062.7800000005</v>
      </c>
    </row>
    <row r="20" spans="1:8" ht="15" customHeight="1" x14ac:dyDescent="0.2">
      <c r="A20" s="7"/>
      <c r="C20" s="30" t="s">
        <v>12</v>
      </c>
      <c r="D20" s="160">
        <v>0</v>
      </c>
      <c r="E20" s="120">
        <v>0</v>
      </c>
    </row>
    <row r="21" spans="1:8" ht="15" customHeight="1" x14ac:dyDescent="0.2">
      <c r="A21" s="7"/>
      <c r="C21" s="30" t="s">
        <v>37</v>
      </c>
      <c r="D21" s="160">
        <v>0</v>
      </c>
      <c r="E21" s="120">
        <v>0</v>
      </c>
    </row>
    <row r="22" spans="1:8" ht="15" customHeight="1" x14ac:dyDescent="0.2">
      <c r="A22" s="7"/>
      <c r="C22" s="31" t="s">
        <v>38</v>
      </c>
      <c r="D22" s="160">
        <v>0</v>
      </c>
      <c r="E22" s="120">
        <v>0</v>
      </c>
    </row>
    <row r="23" spans="1:8" ht="15" customHeight="1" x14ac:dyDescent="0.2">
      <c r="A23" s="7"/>
      <c r="C23" s="31" t="s">
        <v>5</v>
      </c>
      <c r="D23" s="121">
        <v>27895.674163199998</v>
      </c>
      <c r="E23" s="120">
        <v>354229</v>
      </c>
    </row>
    <row r="24" spans="1:8" ht="15" customHeight="1" x14ac:dyDescent="0.2">
      <c r="A24" s="7"/>
      <c r="C24" s="122"/>
      <c r="D24" s="121"/>
      <c r="E24" s="120"/>
    </row>
    <row r="25" spans="1:8" ht="15" customHeight="1" x14ac:dyDescent="0.2">
      <c r="A25" s="7"/>
      <c r="C25" s="122"/>
      <c r="D25" s="121"/>
      <c r="E25" s="120"/>
    </row>
    <row r="26" spans="1:8" ht="30.75" customHeight="1" x14ac:dyDescent="0.2">
      <c r="A26" s="7"/>
      <c r="B26" s="167" t="s">
        <v>58</v>
      </c>
      <c r="C26" s="168"/>
      <c r="E26" s="66"/>
    </row>
    <row r="27" spans="1:8" ht="15" customHeight="1" x14ac:dyDescent="0.2">
      <c r="A27" s="7"/>
      <c r="C27" s="123" t="s">
        <v>227</v>
      </c>
      <c r="D27" s="64"/>
      <c r="E27" s="66">
        <v>3224914.2100000004</v>
      </c>
    </row>
    <row r="28" spans="1:8" ht="15" customHeight="1" x14ac:dyDescent="0.2">
      <c r="A28" s="7"/>
      <c r="C28" s="123" t="s">
        <v>226</v>
      </c>
      <c r="D28" s="65"/>
      <c r="E28" s="120">
        <v>4642788.6900000013</v>
      </c>
    </row>
    <row r="29" spans="1:8" ht="15" customHeight="1" x14ac:dyDescent="0.2">
      <c r="C29" s="32" t="s">
        <v>6</v>
      </c>
      <c r="D29" s="117">
        <f>SUM(D17:D25)</f>
        <v>106305.57938790222</v>
      </c>
      <c r="E29" s="118">
        <f>ROUNDUP(SUM(E17:E28),0)</f>
        <v>20854782</v>
      </c>
    </row>
    <row r="30" spans="1:8" ht="15" customHeight="1" x14ac:dyDescent="0.2">
      <c r="B30" s="17"/>
      <c r="C30" s="18"/>
      <c r="D30" s="19"/>
      <c r="E30" s="18"/>
      <c r="F30" s="19"/>
    </row>
    <row r="31" spans="1:8" s="7" customFormat="1" ht="15" customHeight="1" x14ac:dyDescent="0.2">
      <c r="B31" s="3" t="s">
        <v>4</v>
      </c>
      <c r="C31" s="161" t="str">
        <f>CON_Utility_Name</f>
        <v>Snohomish County PUD</v>
      </c>
      <c r="D31" s="161"/>
      <c r="E31" s="161"/>
      <c r="F31" s="161"/>
      <c r="G31" s="1"/>
      <c r="H31" s="1"/>
    </row>
    <row r="32" spans="1:8" s="7" customFormat="1" ht="21" customHeight="1" x14ac:dyDescent="0.2">
      <c r="B32" s="3"/>
      <c r="C32" s="6"/>
      <c r="D32" s="6"/>
      <c r="E32" s="6"/>
      <c r="F32" s="6"/>
    </row>
    <row r="33" spans="2:2" x14ac:dyDescent="0.2">
      <c r="B33" s="11" t="s">
        <v>36</v>
      </c>
    </row>
  </sheetData>
  <mergeCells count="13">
    <mergeCell ref="C3:E3"/>
    <mergeCell ref="C4:E4"/>
    <mergeCell ref="C5:E5"/>
    <mergeCell ref="C6:E6"/>
    <mergeCell ref="C7:E7"/>
    <mergeCell ref="C31:F31"/>
    <mergeCell ref="B9:F9"/>
    <mergeCell ref="B10:C10"/>
    <mergeCell ref="D10:E10"/>
    <mergeCell ref="G14:H14"/>
    <mergeCell ref="B14:F14"/>
    <mergeCell ref="B26:C26"/>
    <mergeCell ref="D15:E15"/>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topLeftCell="A112" zoomScale="90" zoomScaleNormal="100" zoomScaleSheetLayoutView="90" workbookViewId="0">
      <selection activeCell="D108" sqref="D108"/>
    </sheetView>
  </sheetViews>
  <sheetFormatPr defaultColWidth="9.140625" defaultRowHeight="12.75" x14ac:dyDescent="0.2"/>
  <cols>
    <col min="1" max="1" width="2.7109375" style="1" customWidth="1"/>
    <col min="2" max="2" width="30.140625" style="1" customWidth="1"/>
    <col min="3" max="3" width="10.28515625" style="1" customWidth="1"/>
    <col min="4" max="4" width="10.85546875" style="1" customWidth="1"/>
    <col min="5" max="13" width="10.7109375" style="1" customWidth="1"/>
    <col min="14" max="14" width="13" style="1" bestFit="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8" t="s">
        <v>156</v>
      </c>
      <c r="C1" s="48"/>
      <c r="D1" s="48"/>
      <c r="AC1" s="43" t="s">
        <v>48</v>
      </c>
      <c r="AH1" s="40"/>
    </row>
    <row r="2" spans="2:34" ht="14.25" x14ac:dyDescent="0.2">
      <c r="B2" s="24"/>
      <c r="C2" s="24"/>
      <c r="D2" s="24"/>
      <c r="I2" s="176" t="s">
        <v>46</v>
      </c>
      <c r="J2" s="177"/>
      <c r="K2" s="177"/>
      <c r="L2" s="177"/>
      <c r="M2" s="177"/>
      <c r="N2" s="178"/>
      <c r="AC2" s="44" t="s">
        <v>49</v>
      </c>
      <c r="AH2" s="38"/>
    </row>
    <row r="3" spans="2:34" ht="15" customHeight="1" x14ac:dyDescent="0.2">
      <c r="B3" s="3" t="s">
        <v>4</v>
      </c>
      <c r="C3" s="169" t="s">
        <v>197</v>
      </c>
      <c r="D3" s="169"/>
      <c r="E3" s="169"/>
      <c r="I3" s="53"/>
      <c r="J3" s="7"/>
      <c r="K3" s="7"/>
      <c r="L3" s="7"/>
      <c r="M3" s="52" t="s">
        <v>53</v>
      </c>
      <c r="N3" s="159">
        <v>6544708</v>
      </c>
      <c r="AC3" s="44" t="s">
        <v>50</v>
      </c>
      <c r="AH3" s="38"/>
    </row>
    <row r="4" spans="2:34" ht="15" customHeight="1" thickBot="1" x14ac:dyDescent="0.25">
      <c r="B4" s="4" t="s">
        <v>65</v>
      </c>
      <c r="C4" s="182"/>
      <c r="D4" s="182"/>
      <c r="E4" s="182"/>
      <c r="I4" s="53"/>
      <c r="J4" s="7"/>
      <c r="K4" s="7"/>
      <c r="L4" s="7"/>
      <c r="M4" s="52" t="s">
        <v>153</v>
      </c>
      <c r="N4" s="159">
        <f>8812294-2326185</f>
        <v>6486109</v>
      </c>
      <c r="AC4" s="44" t="s">
        <v>51</v>
      </c>
      <c r="AH4" s="39"/>
    </row>
    <row r="5" spans="2:34" ht="15" customHeight="1" x14ac:dyDescent="0.2">
      <c r="B5" s="5" t="s">
        <v>0</v>
      </c>
      <c r="C5" s="183" t="s">
        <v>198</v>
      </c>
      <c r="D5" s="183"/>
      <c r="E5" s="183"/>
      <c r="I5" s="53"/>
      <c r="J5" s="7"/>
      <c r="K5" s="7"/>
      <c r="L5" s="7"/>
      <c r="M5" s="52" t="s">
        <v>154</v>
      </c>
      <c r="N5" s="157">
        <f>IF(REN_Load_2013+REN_Load_2014&gt;0,AVERAGE(REN_Load_2013,REN_Load_2014),0)</f>
        <v>6515408.5</v>
      </c>
    </row>
    <row r="6" spans="2:34" ht="15" customHeight="1" x14ac:dyDescent="0.2">
      <c r="B6" s="5" t="s">
        <v>1</v>
      </c>
      <c r="C6" s="183" t="s">
        <v>199</v>
      </c>
      <c r="D6" s="183"/>
      <c r="E6" s="183"/>
      <c r="I6" s="53"/>
      <c r="J6" s="7"/>
      <c r="K6" s="7"/>
      <c r="L6" s="7"/>
      <c r="M6" s="52" t="s">
        <v>155</v>
      </c>
      <c r="N6" s="116">
        <v>0.03</v>
      </c>
    </row>
    <row r="7" spans="2:34" ht="15" customHeight="1" x14ac:dyDescent="0.2">
      <c r="B7" s="5" t="s">
        <v>2</v>
      </c>
      <c r="C7" s="184" t="s">
        <v>200</v>
      </c>
      <c r="D7" s="185"/>
      <c r="E7" s="185"/>
      <c r="I7" s="63"/>
      <c r="J7" s="7"/>
      <c r="K7" s="7"/>
      <c r="L7" s="7"/>
      <c r="M7" s="52" t="s">
        <v>169</v>
      </c>
      <c r="N7" s="157">
        <f>N5*N6</f>
        <v>195462.255</v>
      </c>
    </row>
    <row r="8" spans="2:34" ht="15" customHeight="1" x14ac:dyDescent="0.2">
      <c r="B8" s="5"/>
      <c r="C8" s="5"/>
      <c r="D8" s="5"/>
      <c r="E8" s="37"/>
      <c r="I8" s="54"/>
      <c r="J8" s="55"/>
      <c r="K8" s="55"/>
      <c r="L8" s="55"/>
      <c r="M8" s="56" t="s">
        <v>52</v>
      </c>
      <c r="N8" s="158">
        <f>SUM(C20:M20)</f>
        <v>1139847</v>
      </c>
    </row>
    <row r="9" spans="2:34" ht="15" customHeight="1" x14ac:dyDescent="0.2">
      <c r="B9" s="3" t="s">
        <v>193</v>
      </c>
      <c r="C9" s="49"/>
      <c r="D9" s="49"/>
    </row>
    <row r="10" spans="2:34" ht="15" customHeight="1" x14ac:dyDescent="0.2">
      <c r="C10" s="24"/>
      <c r="D10" s="24"/>
      <c r="G10" s="179" t="s">
        <v>192</v>
      </c>
      <c r="H10" s="180"/>
      <c r="I10" s="180"/>
      <c r="J10" s="180"/>
      <c r="K10" s="180"/>
      <c r="L10" s="180"/>
      <c r="M10" s="180"/>
      <c r="N10" s="181"/>
    </row>
    <row r="11" spans="2:34" s="41" customFormat="1" ht="14.25" customHeight="1" x14ac:dyDescent="0.25">
      <c r="B11" s="1"/>
      <c r="C11" s="42"/>
      <c r="D11" s="42"/>
      <c r="G11" s="53" t="s">
        <v>101</v>
      </c>
      <c r="H11" s="69"/>
      <c r="I11" s="69"/>
      <c r="J11" s="69"/>
      <c r="K11" s="69"/>
      <c r="L11" s="69"/>
      <c r="M11" s="7"/>
      <c r="N11" s="114">
        <f>'Renewable Cost Report'!L28+'Renewable Cost Report'!F60</f>
        <v>35760024.904009134</v>
      </c>
    </row>
    <row r="12" spans="2:34" x14ac:dyDescent="0.2">
      <c r="C12" s="24"/>
      <c r="D12" s="24"/>
      <c r="G12" s="53" t="s">
        <v>170</v>
      </c>
      <c r="H12" s="67"/>
      <c r="I12" s="67"/>
      <c r="J12" s="67"/>
      <c r="K12" s="67"/>
      <c r="L12" s="7"/>
      <c r="M12" s="7"/>
      <c r="N12" s="124">
        <v>568012000</v>
      </c>
    </row>
    <row r="13" spans="2:34" x14ac:dyDescent="0.2">
      <c r="G13" s="70" t="s">
        <v>102</v>
      </c>
      <c r="H13" s="68"/>
      <c r="I13" s="68"/>
      <c r="J13" s="68"/>
      <c r="K13" s="68"/>
      <c r="L13" s="55"/>
      <c r="M13" s="55"/>
      <c r="N13" s="115">
        <f>IF(REN_RetailRevenueRequirement_2015&gt;0,REN_Expenditure_Amount_2015/REN_RetailRevenueRequirement_2015,"")</f>
        <v>6.2956460257897959E-2</v>
      </c>
    </row>
    <row r="14" spans="2:34" ht="17.45" customHeight="1" x14ac:dyDescent="0.2">
      <c r="I14" s="186"/>
      <c r="J14" s="186"/>
      <c r="K14" s="186"/>
      <c r="L14" s="186"/>
      <c r="M14" s="186"/>
      <c r="N14" s="34"/>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x14ac:dyDescent="0.2">
      <c r="B18" s="4" t="s">
        <v>43</v>
      </c>
      <c r="C18" s="125">
        <f t="shared" ref="C18:L18" si="0">SUM(E44:E64)</f>
        <v>1053</v>
      </c>
      <c r="D18" s="125">
        <f>SUM(F44:F64)</f>
        <v>508081</v>
      </c>
      <c r="E18" s="125">
        <f t="shared" si="0"/>
        <v>0</v>
      </c>
      <c r="F18" s="125">
        <f t="shared" si="0"/>
        <v>0</v>
      </c>
      <c r="G18" s="125">
        <f t="shared" si="0"/>
        <v>0</v>
      </c>
      <c r="H18" s="125">
        <f t="shared" si="0"/>
        <v>0</v>
      </c>
      <c r="I18" s="125">
        <f t="shared" si="0"/>
        <v>0</v>
      </c>
      <c r="J18" s="125">
        <f t="shared" si="0"/>
        <v>0</v>
      </c>
      <c r="K18" s="125">
        <f>SUM(M44:M64)</f>
        <v>19488</v>
      </c>
      <c r="L18" s="125">
        <f t="shared" si="0"/>
        <v>0</v>
      </c>
      <c r="M18" s="62"/>
      <c r="N18" s="35"/>
      <c r="O18" s="46"/>
      <c r="P18" s="46"/>
    </row>
    <row r="19" spans="2:34" ht="16.5" customHeight="1" x14ac:dyDescent="0.2">
      <c r="B19" s="4" t="s">
        <v>44</v>
      </c>
      <c r="C19" s="62"/>
      <c r="D19" s="126">
        <f>SUM(F72:F96)</f>
        <v>542659</v>
      </c>
      <c r="E19" s="126">
        <f t="shared" ref="E19:M19" si="1">SUM(G72:G96)</f>
        <v>2904</v>
      </c>
      <c r="F19" s="126">
        <f t="shared" si="1"/>
        <v>0</v>
      </c>
      <c r="G19" s="126">
        <f t="shared" si="1"/>
        <v>14</v>
      </c>
      <c r="H19" s="126">
        <f t="shared" si="1"/>
        <v>0</v>
      </c>
      <c r="I19" s="126">
        <f t="shared" si="1"/>
        <v>0</v>
      </c>
      <c r="J19" s="126">
        <f t="shared" si="1"/>
        <v>0</v>
      </c>
      <c r="K19" s="126">
        <f t="shared" si="1"/>
        <v>21628</v>
      </c>
      <c r="L19" s="126">
        <f t="shared" si="1"/>
        <v>0</v>
      </c>
      <c r="M19" s="126">
        <f t="shared" si="1"/>
        <v>44020</v>
      </c>
      <c r="N19" s="36"/>
      <c r="O19" s="20"/>
      <c r="P19" s="20"/>
    </row>
    <row r="20" spans="2:34" ht="16.5" customHeight="1" x14ac:dyDescent="0.2">
      <c r="B20" s="5" t="s">
        <v>45</v>
      </c>
      <c r="C20" s="127">
        <f t="shared" ref="C20:L20" si="2">C18+C19</f>
        <v>1053</v>
      </c>
      <c r="D20" s="127">
        <f t="shared" si="2"/>
        <v>1050740</v>
      </c>
      <c r="E20" s="127">
        <f t="shared" si="2"/>
        <v>2904</v>
      </c>
      <c r="F20" s="127">
        <f t="shared" si="2"/>
        <v>0</v>
      </c>
      <c r="G20" s="127">
        <f t="shared" si="2"/>
        <v>14</v>
      </c>
      <c r="H20" s="127">
        <f t="shared" si="2"/>
        <v>0</v>
      </c>
      <c r="I20" s="127">
        <f t="shared" si="2"/>
        <v>0</v>
      </c>
      <c r="J20" s="127">
        <f t="shared" si="2"/>
        <v>0</v>
      </c>
      <c r="K20" s="127">
        <f t="shared" si="2"/>
        <v>41116</v>
      </c>
      <c r="L20" s="127">
        <f t="shared" si="2"/>
        <v>0</v>
      </c>
      <c r="M20" s="126">
        <f>M19</f>
        <v>44020</v>
      </c>
      <c r="N20" s="36"/>
      <c r="O20" s="20"/>
      <c r="P20" s="20"/>
    </row>
    <row r="21" spans="2:34" ht="16.5" customHeight="1" x14ac:dyDescent="0.2">
      <c r="L21" s="7"/>
      <c r="M21" s="4"/>
      <c r="N21" s="36"/>
      <c r="O21" s="20"/>
      <c r="P21" s="20"/>
    </row>
    <row r="22" spans="2:34" ht="21.75" customHeight="1" x14ac:dyDescent="0.2">
      <c r="L22" s="7"/>
      <c r="M22" s="4"/>
      <c r="N22" s="36"/>
      <c r="O22" s="20"/>
      <c r="P22" s="20"/>
    </row>
    <row r="23" spans="2:34" ht="15" customHeight="1" x14ac:dyDescent="0.2">
      <c r="B23" s="47"/>
      <c r="C23" s="50"/>
      <c r="D23" s="50"/>
      <c r="E23" s="47"/>
      <c r="F23" s="50"/>
      <c r="G23" s="50"/>
      <c r="I23" s="7"/>
      <c r="J23" s="7"/>
      <c r="K23" s="7"/>
      <c r="L23" s="7"/>
      <c r="M23" s="4"/>
      <c r="N23" s="36"/>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87" t="str">
        <f>C3</f>
        <v>Snohomish County PUD</v>
      </c>
      <c r="G36" s="188"/>
      <c r="H36" s="189"/>
    </row>
    <row r="37" spans="2:34" ht="15" customHeight="1" x14ac:dyDescent="0.2">
      <c r="E37" s="10" t="s">
        <v>13</v>
      </c>
      <c r="F37" s="190">
        <v>2015</v>
      </c>
      <c r="G37" s="191"/>
      <c r="H37" s="192"/>
    </row>
    <row r="38" spans="2:34" ht="15" customHeight="1" x14ac:dyDescent="0.2">
      <c r="E38" s="10"/>
      <c r="F38" s="45"/>
      <c r="G38" s="9"/>
      <c r="H38" s="9"/>
    </row>
    <row r="39" spans="2:34" s="25" customFormat="1" ht="27" customHeight="1" x14ac:dyDescent="0.25">
      <c r="B39" s="193" t="s">
        <v>105</v>
      </c>
      <c r="C39" s="194"/>
      <c r="D39" s="194"/>
      <c r="E39" s="195"/>
      <c r="F39" s="195"/>
      <c r="G39" s="195"/>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51" t="s">
        <v>35</v>
      </c>
      <c r="C43" s="196" t="s">
        <v>54</v>
      </c>
      <c r="D43" s="196"/>
      <c r="E43" s="21" t="s">
        <v>7</v>
      </c>
      <c r="F43" s="21" t="s">
        <v>7</v>
      </c>
      <c r="G43" s="21" t="s">
        <v>7</v>
      </c>
      <c r="H43" s="21" t="s">
        <v>7</v>
      </c>
      <c r="I43" s="21" t="s">
        <v>7</v>
      </c>
      <c r="J43" s="21" t="s">
        <v>7</v>
      </c>
      <c r="K43" s="21" t="s">
        <v>7</v>
      </c>
      <c r="L43" s="21" t="s">
        <v>7</v>
      </c>
      <c r="M43" s="21" t="s">
        <v>7</v>
      </c>
      <c r="N43" s="21" t="s">
        <v>56</v>
      </c>
      <c r="AH43" s="11"/>
    </row>
    <row r="44" spans="2:34" ht="15" customHeight="1" x14ac:dyDescent="0.2">
      <c r="B44" s="128" t="s">
        <v>208</v>
      </c>
      <c r="C44" s="129"/>
      <c r="D44" s="129"/>
      <c r="E44" s="130">
        <v>1053</v>
      </c>
      <c r="F44" s="125"/>
      <c r="G44" s="125"/>
      <c r="H44" s="125"/>
      <c r="I44" s="125"/>
      <c r="J44" s="125"/>
      <c r="K44" s="125"/>
      <c r="L44" s="125"/>
      <c r="M44" s="125"/>
      <c r="N44" s="125"/>
    </row>
    <row r="45" spans="2:34" ht="15" customHeight="1" x14ac:dyDescent="0.2">
      <c r="B45" s="133" t="s">
        <v>209</v>
      </c>
      <c r="C45" s="133" t="s">
        <v>210</v>
      </c>
      <c r="D45" s="131"/>
      <c r="E45" s="132"/>
      <c r="F45" s="133"/>
      <c r="G45" s="133"/>
      <c r="H45" s="133"/>
      <c r="I45" s="133"/>
      <c r="J45" s="133"/>
      <c r="K45" s="133"/>
      <c r="L45" s="133"/>
      <c r="M45" s="133">
        <f>32112/2</f>
        <v>16056</v>
      </c>
      <c r="N45" s="133"/>
    </row>
    <row r="46" spans="2:34" ht="15" customHeight="1" x14ac:dyDescent="0.2">
      <c r="B46" s="133" t="s">
        <v>202</v>
      </c>
      <c r="C46" s="133" t="s">
        <v>203</v>
      </c>
      <c r="D46" s="131"/>
      <c r="E46" s="132"/>
      <c r="F46" s="133">
        <v>231030</v>
      </c>
      <c r="G46" s="133"/>
      <c r="H46" s="133"/>
      <c r="I46" s="133"/>
      <c r="J46" s="133"/>
      <c r="K46" s="133"/>
      <c r="L46" s="133"/>
      <c r="M46" s="133"/>
      <c r="N46" s="133"/>
    </row>
    <row r="47" spans="2:34" ht="15" customHeight="1" x14ac:dyDescent="0.2">
      <c r="B47" s="133" t="s">
        <v>204</v>
      </c>
      <c r="C47" s="133" t="s">
        <v>205</v>
      </c>
      <c r="D47" s="134"/>
      <c r="E47" s="132"/>
      <c r="F47" s="133">
        <v>221513</v>
      </c>
      <c r="G47" s="133"/>
      <c r="H47" s="133"/>
      <c r="I47" s="133"/>
      <c r="J47" s="133"/>
      <c r="K47" s="133"/>
      <c r="L47" s="133"/>
      <c r="M47" s="133"/>
      <c r="N47" s="133"/>
    </row>
    <row r="48" spans="2:34" ht="15" customHeight="1" x14ac:dyDescent="0.2">
      <c r="B48" s="133" t="s">
        <v>206</v>
      </c>
      <c r="C48" s="133" t="s">
        <v>207</v>
      </c>
      <c r="D48" s="135"/>
      <c r="E48" s="132"/>
      <c r="F48" s="133">
        <v>55538</v>
      </c>
      <c r="G48" s="133"/>
      <c r="H48" s="133"/>
      <c r="I48" s="133"/>
      <c r="J48" s="133"/>
      <c r="K48" s="133"/>
      <c r="L48" s="133"/>
      <c r="M48" s="133"/>
      <c r="N48" s="133"/>
    </row>
    <row r="49" spans="2:14" ht="15" customHeight="1" x14ac:dyDescent="0.2">
      <c r="B49" s="133" t="s">
        <v>211</v>
      </c>
      <c r="C49" s="133" t="s">
        <v>221</v>
      </c>
      <c r="D49" s="136"/>
      <c r="E49" s="132"/>
      <c r="F49" s="133"/>
      <c r="G49" s="133"/>
      <c r="H49" s="133"/>
      <c r="I49" s="133"/>
      <c r="J49" s="133"/>
      <c r="K49" s="133"/>
      <c r="L49" s="133"/>
      <c r="M49" s="133">
        <f>6864/2</f>
        <v>3432</v>
      </c>
      <c r="N49" s="133"/>
    </row>
    <row r="50" spans="2:14" ht="15" customHeight="1" x14ac:dyDescent="0.2">
      <c r="B50" s="122"/>
      <c r="C50" s="136"/>
      <c r="D50" s="136"/>
      <c r="E50" s="132"/>
      <c r="F50" s="133"/>
      <c r="G50" s="133"/>
      <c r="H50" s="133"/>
      <c r="I50" s="133"/>
      <c r="J50" s="133"/>
      <c r="K50" s="133"/>
      <c r="L50" s="133"/>
      <c r="M50" s="133"/>
      <c r="N50" s="133"/>
    </row>
    <row r="51" spans="2:14" ht="15" customHeight="1" x14ac:dyDescent="0.2">
      <c r="B51" s="122"/>
      <c r="C51" s="136"/>
      <c r="D51" s="136"/>
      <c r="E51" s="132"/>
      <c r="F51" s="133"/>
      <c r="G51" s="133"/>
      <c r="H51" s="133"/>
      <c r="I51" s="133"/>
      <c r="J51" s="133"/>
      <c r="K51" s="133"/>
      <c r="L51" s="133"/>
      <c r="M51" s="133"/>
      <c r="N51" s="133"/>
    </row>
    <row r="52" spans="2:14" ht="15" customHeight="1" x14ac:dyDescent="0.2">
      <c r="B52" s="122"/>
      <c r="C52" s="136"/>
      <c r="D52" s="136"/>
      <c r="E52" s="132"/>
      <c r="F52" s="133"/>
      <c r="G52" s="133"/>
      <c r="H52" s="133"/>
      <c r="I52" s="133"/>
      <c r="J52" s="133"/>
      <c r="K52" s="133"/>
      <c r="L52" s="133"/>
      <c r="M52" s="133"/>
      <c r="N52" s="133"/>
    </row>
    <row r="53" spans="2:14" ht="15" customHeight="1" x14ac:dyDescent="0.2">
      <c r="B53" s="122"/>
      <c r="C53" s="136"/>
      <c r="D53" s="136"/>
      <c r="E53" s="132"/>
      <c r="F53" s="133"/>
      <c r="G53" s="133"/>
      <c r="H53" s="133"/>
      <c r="I53" s="133"/>
      <c r="J53" s="133"/>
      <c r="K53" s="133"/>
      <c r="L53" s="133"/>
      <c r="M53" s="133"/>
      <c r="N53" s="133"/>
    </row>
    <row r="54" spans="2:14" ht="15" customHeight="1" x14ac:dyDescent="0.2">
      <c r="B54" s="122"/>
      <c r="C54" s="136"/>
      <c r="D54" s="136"/>
      <c r="E54" s="132"/>
      <c r="F54" s="133"/>
      <c r="G54" s="133"/>
      <c r="H54" s="133"/>
      <c r="I54" s="133"/>
      <c r="J54" s="133"/>
      <c r="K54" s="133"/>
      <c r="L54" s="133"/>
      <c r="M54" s="133"/>
      <c r="N54" s="133"/>
    </row>
    <row r="55" spans="2:14" ht="15" customHeight="1" x14ac:dyDescent="0.2">
      <c r="B55" s="122"/>
      <c r="C55" s="136"/>
      <c r="D55" s="136"/>
      <c r="E55" s="132"/>
      <c r="F55" s="133"/>
      <c r="G55" s="133"/>
      <c r="H55" s="133"/>
      <c r="I55" s="133"/>
      <c r="J55" s="133"/>
      <c r="K55" s="133"/>
      <c r="L55" s="133"/>
      <c r="M55" s="133"/>
      <c r="N55" s="133"/>
    </row>
    <row r="56" spans="2:14" ht="15" customHeight="1" x14ac:dyDescent="0.2">
      <c r="B56" s="122"/>
      <c r="C56" s="136"/>
      <c r="D56" s="136"/>
      <c r="E56" s="132"/>
      <c r="F56" s="133"/>
      <c r="G56" s="133"/>
      <c r="H56" s="133"/>
      <c r="I56" s="133"/>
      <c r="J56" s="133"/>
      <c r="K56" s="133"/>
      <c r="L56" s="133"/>
      <c r="M56" s="133"/>
      <c r="N56" s="133"/>
    </row>
    <row r="57" spans="2:14" ht="15" customHeight="1" x14ac:dyDescent="0.2">
      <c r="B57" s="122"/>
      <c r="C57" s="136"/>
      <c r="D57" s="136"/>
      <c r="E57" s="132"/>
      <c r="F57" s="133"/>
      <c r="G57" s="133"/>
      <c r="H57" s="133"/>
      <c r="I57" s="133"/>
      <c r="J57" s="133"/>
      <c r="K57" s="133"/>
      <c r="L57" s="133"/>
      <c r="M57" s="133"/>
      <c r="N57" s="133"/>
    </row>
    <row r="58" spans="2:14" ht="15" customHeight="1" x14ac:dyDescent="0.2">
      <c r="B58" s="122"/>
      <c r="C58" s="136"/>
      <c r="D58" s="136"/>
      <c r="E58" s="132"/>
      <c r="F58" s="133"/>
      <c r="G58" s="133"/>
      <c r="H58" s="133"/>
      <c r="I58" s="133"/>
      <c r="J58" s="133"/>
      <c r="K58" s="133"/>
      <c r="L58" s="133"/>
      <c r="M58" s="133"/>
      <c r="N58" s="133"/>
    </row>
    <row r="59" spans="2:14" ht="15" customHeight="1" x14ac:dyDescent="0.2">
      <c r="B59" s="122"/>
      <c r="C59" s="136"/>
      <c r="D59" s="136"/>
      <c r="E59" s="132"/>
      <c r="F59" s="133"/>
      <c r="G59" s="133"/>
      <c r="H59" s="133"/>
      <c r="I59" s="133"/>
      <c r="J59" s="133"/>
      <c r="K59" s="133"/>
      <c r="L59" s="133"/>
      <c r="M59" s="133"/>
      <c r="N59" s="133"/>
    </row>
    <row r="60" spans="2:14" ht="15" customHeight="1" x14ac:dyDescent="0.2">
      <c r="B60" s="122"/>
      <c r="C60" s="136"/>
      <c r="D60" s="136"/>
      <c r="E60" s="132"/>
      <c r="F60" s="133"/>
      <c r="G60" s="133"/>
      <c r="H60" s="133"/>
      <c r="I60" s="133"/>
      <c r="J60" s="133"/>
      <c r="K60" s="133"/>
      <c r="L60" s="133"/>
      <c r="M60" s="133"/>
      <c r="N60" s="133"/>
    </row>
    <row r="61" spans="2:14" ht="15" customHeight="1" x14ac:dyDescent="0.2">
      <c r="B61" s="122"/>
      <c r="C61" s="136"/>
      <c r="D61" s="136"/>
      <c r="E61" s="132"/>
      <c r="F61" s="133"/>
      <c r="G61" s="133"/>
      <c r="H61" s="133"/>
      <c r="I61" s="133"/>
      <c r="J61" s="133"/>
      <c r="K61" s="133"/>
      <c r="L61" s="133"/>
      <c r="M61" s="133"/>
      <c r="N61" s="133"/>
    </row>
    <row r="62" spans="2:14" ht="15" customHeight="1" x14ac:dyDescent="0.2">
      <c r="B62" s="122"/>
      <c r="C62" s="136"/>
      <c r="D62" s="136"/>
      <c r="E62" s="132"/>
      <c r="F62" s="133"/>
      <c r="G62" s="133"/>
      <c r="H62" s="133"/>
      <c r="I62" s="133"/>
      <c r="J62" s="133"/>
      <c r="K62" s="133"/>
      <c r="L62" s="133"/>
      <c r="M62" s="133"/>
      <c r="N62" s="133"/>
    </row>
    <row r="63" spans="2:14" ht="15" customHeight="1" x14ac:dyDescent="0.2">
      <c r="B63" s="122"/>
      <c r="C63" s="136"/>
      <c r="D63" s="136"/>
      <c r="E63" s="132"/>
      <c r="F63" s="133"/>
      <c r="G63" s="133"/>
      <c r="H63" s="133"/>
      <c r="I63" s="133"/>
      <c r="J63" s="133"/>
      <c r="K63" s="133"/>
      <c r="L63" s="133"/>
      <c r="M63" s="133"/>
      <c r="N63" s="133"/>
    </row>
    <row r="64" spans="2:14" ht="15" customHeight="1" x14ac:dyDescent="0.2">
      <c r="B64" s="137"/>
      <c r="C64" s="138"/>
      <c r="D64" s="138"/>
      <c r="E64" s="139"/>
      <c r="F64" s="126"/>
      <c r="G64" s="126"/>
      <c r="H64" s="126"/>
      <c r="I64" s="126"/>
      <c r="J64" s="126"/>
      <c r="K64" s="126"/>
      <c r="L64" s="126"/>
      <c r="M64" s="126"/>
      <c r="N64" s="126"/>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7" t="str">
        <f>C3</f>
        <v>Snohomish County PUD</v>
      </c>
      <c r="G66" s="188"/>
      <c r="H66" s="189"/>
    </row>
    <row r="67" spans="1:34" ht="15" customHeight="1" x14ac:dyDescent="0.2">
      <c r="E67" s="10" t="s">
        <v>13</v>
      </c>
      <c r="F67" s="190">
        <v>2015</v>
      </c>
      <c r="G67" s="191"/>
      <c r="H67" s="192"/>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
      <c r="A72" s="7"/>
      <c r="B72" s="125" t="s">
        <v>212</v>
      </c>
      <c r="C72" s="125" t="s">
        <v>222</v>
      </c>
      <c r="D72" s="155">
        <v>2015</v>
      </c>
      <c r="E72" s="125"/>
      <c r="F72" s="125"/>
      <c r="G72" s="125">
        <v>1493</v>
      </c>
      <c r="H72" s="125"/>
      <c r="I72" s="125"/>
      <c r="J72" s="125"/>
      <c r="K72" s="125"/>
      <c r="L72" s="125"/>
      <c r="M72" s="125"/>
      <c r="N72" s="125"/>
      <c r="O72" s="140">
        <v>1493</v>
      </c>
    </row>
    <row r="73" spans="1:34" ht="15" customHeight="1" x14ac:dyDescent="0.2">
      <c r="A73" s="7"/>
      <c r="B73" s="133" t="s">
        <v>225</v>
      </c>
      <c r="C73" s="133" t="s">
        <v>224</v>
      </c>
      <c r="D73" s="156">
        <v>2015</v>
      </c>
      <c r="E73" s="133"/>
      <c r="F73" s="133">
        <v>4156</v>
      </c>
      <c r="G73" s="133"/>
      <c r="H73" s="133"/>
      <c r="I73" s="133"/>
      <c r="J73" s="133"/>
      <c r="K73" s="133"/>
      <c r="L73" s="133"/>
      <c r="M73" s="133"/>
      <c r="N73" s="133"/>
      <c r="O73" s="141"/>
    </row>
    <row r="74" spans="1:34" ht="15" customHeight="1" x14ac:dyDescent="0.2">
      <c r="A74" s="7"/>
      <c r="B74" s="133" t="s">
        <v>213</v>
      </c>
      <c r="C74" s="133" t="s">
        <v>214</v>
      </c>
      <c r="D74" s="156">
        <v>2015</v>
      </c>
      <c r="E74" s="133"/>
      <c r="F74" s="133">
        <v>5168</v>
      </c>
      <c r="G74" s="133"/>
      <c r="H74" s="133"/>
      <c r="I74" s="133"/>
      <c r="J74" s="133"/>
      <c r="K74" s="133"/>
      <c r="L74" s="133"/>
      <c r="M74" s="133"/>
      <c r="N74" s="133"/>
      <c r="O74" s="141"/>
    </row>
    <row r="75" spans="1:34" ht="15" customHeight="1" x14ac:dyDescent="0.2">
      <c r="A75" s="7"/>
      <c r="B75" s="133" t="s">
        <v>215</v>
      </c>
      <c r="C75" s="133" t="s">
        <v>216</v>
      </c>
      <c r="D75" s="156">
        <v>2015</v>
      </c>
      <c r="E75" s="133"/>
      <c r="F75" s="133">
        <v>4859</v>
      </c>
      <c r="G75" s="133"/>
      <c r="H75" s="133"/>
      <c r="I75" s="133"/>
      <c r="J75" s="133"/>
      <c r="K75" s="133"/>
      <c r="L75" s="133"/>
      <c r="M75" s="133"/>
      <c r="N75" s="133"/>
      <c r="O75" s="141"/>
    </row>
    <row r="76" spans="1:34" ht="15" customHeight="1" x14ac:dyDescent="0.2">
      <c r="A76" s="7"/>
      <c r="B76" s="133" t="s">
        <v>217</v>
      </c>
      <c r="C76" s="133" t="s">
        <v>218</v>
      </c>
      <c r="D76" s="156">
        <v>2015</v>
      </c>
      <c r="E76" s="133"/>
      <c r="F76" s="133">
        <v>11885</v>
      </c>
      <c r="G76" s="133"/>
      <c r="H76" s="133"/>
      <c r="I76" s="133"/>
      <c r="J76" s="133"/>
      <c r="K76" s="133"/>
      <c r="L76" s="133"/>
      <c r="M76" s="133"/>
      <c r="N76" s="133"/>
      <c r="O76" s="141"/>
    </row>
    <row r="77" spans="1:34" ht="15" customHeight="1" x14ac:dyDescent="0.2">
      <c r="A77" s="7"/>
      <c r="B77" s="133" t="s">
        <v>219</v>
      </c>
      <c r="C77" s="133" t="s">
        <v>220</v>
      </c>
      <c r="D77" s="156">
        <v>2015</v>
      </c>
      <c r="E77" s="133"/>
      <c r="F77" s="133">
        <v>17663</v>
      </c>
      <c r="G77" s="133"/>
      <c r="H77" s="133"/>
      <c r="I77" s="133"/>
      <c r="J77" s="133"/>
      <c r="K77" s="133"/>
      <c r="L77" s="133"/>
      <c r="M77" s="133"/>
      <c r="N77" s="133"/>
      <c r="O77" s="141"/>
    </row>
    <row r="78" spans="1:34" ht="15" customHeight="1" x14ac:dyDescent="0.2">
      <c r="A78" s="7"/>
      <c r="B78" s="133" t="s">
        <v>209</v>
      </c>
      <c r="C78" s="133" t="s">
        <v>210</v>
      </c>
      <c r="D78" s="156">
        <v>2015</v>
      </c>
      <c r="E78" s="133"/>
      <c r="F78" s="133"/>
      <c r="G78" s="133"/>
      <c r="H78" s="133"/>
      <c r="I78" s="133"/>
      <c r="J78" s="133"/>
      <c r="K78" s="133"/>
      <c r="L78" s="133"/>
      <c r="M78" s="133"/>
      <c r="N78" s="133"/>
      <c r="O78" s="141">
        <v>16056</v>
      </c>
    </row>
    <row r="79" spans="1:34" ht="15" customHeight="1" x14ac:dyDescent="0.2">
      <c r="B79" s="133" t="s">
        <v>211</v>
      </c>
      <c r="C79" s="133" t="s">
        <v>221</v>
      </c>
      <c r="D79" s="156">
        <v>2015</v>
      </c>
      <c r="E79" s="133"/>
      <c r="F79" s="133"/>
      <c r="G79" s="133"/>
      <c r="H79" s="133"/>
      <c r="I79" s="133"/>
      <c r="J79" s="133"/>
      <c r="K79" s="133"/>
      <c r="L79" s="133"/>
      <c r="M79" s="133"/>
      <c r="N79" s="133"/>
      <c r="O79" s="141">
        <v>3432</v>
      </c>
    </row>
    <row r="80" spans="1:34" ht="15" customHeight="1" x14ac:dyDescent="0.2">
      <c r="B80" s="133"/>
      <c r="C80" s="133"/>
      <c r="D80" s="156"/>
      <c r="E80" s="133"/>
      <c r="F80" s="133"/>
      <c r="G80" s="133"/>
      <c r="H80" s="133"/>
      <c r="I80" s="133"/>
      <c r="J80" s="133"/>
      <c r="K80" s="133"/>
      <c r="L80" s="133"/>
      <c r="M80" s="133"/>
      <c r="N80" s="133"/>
      <c r="O80" s="141"/>
    </row>
    <row r="81" spans="2:15" ht="15" customHeight="1" x14ac:dyDescent="0.2">
      <c r="B81" s="133" t="s">
        <v>202</v>
      </c>
      <c r="C81" s="133" t="s">
        <v>203</v>
      </c>
      <c r="D81" s="156">
        <v>2014</v>
      </c>
      <c r="E81" s="133"/>
      <c r="F81" s="133">
        <v>228535</v>
      </c>
      <c r="G81" s="133"/>
      <c r="H81" s="133"/>
      <c r="I81" s="133"/>
      <c r="J81" s="133"/>
      <c r="K81" s="133"/>
      <c r="L81" s="133"/>
      <c r="M81" s="133"/>
      <c r="N81" s="133"/>
      <c r="O81" s="141"/>
    </row>
    <row r="82" spans="2:15" ht="15" customHeight="1" x14ac:dyDescent="0.2">
      <c r="B82" s="133" t="s">
        <v>204</v>
      </c>
      <c r="C82" s="133" t="s">
        <v>205</v>
      </c>
      <c r="D82" s="156">
        <v>2014</v>
      </c>
      <c r="E82" s="133"/>
      <c r="F82" s="133">
        <v>173475</v>
      </c>
      <c r="G82" s="133"/>
      <c r="H82" s="133"/>
      <c r="I82" s="133"/>
      <c r="J82" s="133"/>
      <c r="K82" s="133"/>
      <c r="L82" s="133"/>
      <c r="M82" s="133"/>
      <c r="N82" s="133"/>
      <c r="O82" s="141"/>
    </row>
    <row r="83" spans="2:15" ht="15" customHeight="1" x14ac:dyDescent="0.2">
      <c r="B83" s="133" t="s">
        <v>206</v>
      </c>
      <c r="C83" s="133" t="s">
        <v>207</v>
      </c>
      <c r="D83" s="156">
        <v>2014</v>
      </c>
      <c r="E83" s="133"/>
      <c r="F83" s="133">
        <v>53187</v>
      </c>
      <c r="G83" s="133"/>
      <c r="H83" s="133"/>
      <c r="I83" s="133"/>
      <c r="J83" s="133"/>
      <c r="K83" s="133"/>
      <c r="L83" s="133"/>
      <c r="M83" s="133"/>
      <c r="N83" s="133"/>
      <c r="O83" s="141"/>
    </row>
    <row r="84" spans="2:15" ht="15" customHeight="1" x14ac:dyDescent="0.2">
      <c r="B84" s="133" t="s">
        <v>209</v>
      </c>
      <c r="C84" s="133" t="s">
        <v>210</v>
      </c>
      <c r="D84" s="156">
        <v>2014</v>
      </c>
      <c r="E84" s="133"/>
      <c r="F84" s="133"/>
      <c r="G84" s="133"/>
      <c r="H84" s="133"/>
      <c r="I84" s="133"/>
      <c r="J84" s="133"/>
      <c r="K84" s="133"/>
      <c r="L84" s="133"/>
      <c r="M84" s="133">
        <v>18838</v>
      </c>
      <c r="N84" s="133"/>
      <c r="O84" s="141">
        <v>18838</v>
      </c>
    </row>
    <row r="85" spans="2:15" ht="15" customHeight="1" x14ac:dyDescent="0.2">
      <c r="B85" s="133" t="s">
        <v>211</v>
      </c>
      <c r="C85" s="133" t="s">
        <v>221</v>
      </c>
      <c r="D85" s="156">
        <v>2014</v>
      </c>
      <c r="E85" s="133"/>
      <c r="F85" s="133"/>
      <c r="G85" s="133"/>
      <c r="H85" s="133"/>
      <c r="I85" s="133"/>
      <c r="J85" s="133"/>
      <c r="K85" s="133"/>
      <c r="L85" s="133"/>
      <c r="M85" s="133">
        <v>2790</v>
      </c>
      <c r="N85" s="133"/>
      <c r="O85" s="141">
        <v>2790</v>
      </c>
    </row>
    <row r="86" spans="2:15" ht="15" customHeight="1" x14ac:dyDescent="0.2">
      <c r="B86" s="125" t="s">
        <v>212</v>
      </c>
      <c r="C86" s="125" t="s">
        <v>222</v>
      </c>
      <c r="D86" s="156">
        <v>2014</v>
      </c>
      <c r="E86" s="133"/>
      <c r="F86" s="133"/>
      <c r="G86" s="133">
        <v>1411</v>
      </c>
      <c r="H86" s="133"/>
      <c r="I86" s="133"/>
      <c r="J86" s="133"/>
      <c r="K86" s="133"/>
      <c r="L86" s="133"/>
      <c r="M86" s="133"/>
      <c r="N86" s="133"/>
      <c r="O86" s="141">
        <v>1411</v>
      </c>
    </row>
    <row r="87" spans="2:15" ht="15" customHeight="1" x14ac:dyDescent="0.2">
      <c r="B87" s="133" t="s">
        <v>223</v>
      </c>
      <c r="C87" s="133" t="s">
        <v>224</v>
      </c>
      <c r="D87" s="156">
        <v>2014</v>
      </c>
      <c r="E87" s="133"/>
      <c r="F87" s="133">
        <v>4156</v>
      </c>
      <c r="G87" s="133"/>
      <c r="H87" s="133"/>
      <c r="I87" s="133"/>
      <c r="J87" s="133"/>
      <c r="K87" s="133"/>
      <c r="L87" s="133"/>
      <c r="M87" s="133"/>
      <c r="N87" s="133"/>
      <c r="O87" s="141"/>
    </row>
    <row r="88" spans="2:15" ht="15" customHeight="1" x14ac:dyDescent="0.2">
      <c r="B88" s="133" t="s">
        <v>213</v>
      </c>
      <c r="C88" s="133" t="s">
        <v>214</v>
      </c>
      <c r="D88" s="156">
        <v>2014</v>
      </c>
      <c r="E88" s="133"/>
      <c r="F88" s="133">
        <v>5168</v>
      </c>
      <c r="G88" s="133"/>
      <c r="H88" s="133"/>
      <c r="I88" s="133"/>
      <c r="J88" s="133"/>
      <c r="K88" s="133"/>
      <c r="L88" s="133"/>
      <c r="M88" s="133"/>
      <c r="N88" s="133"/>
      <c r="O88" s="141"/>
    </row>
    <row r="89" spans="2:15" ht="15" customHeight="1" x14ac:dyDescent="0.2">
      <c r="B89" s="133" t="s">
        <v>215</v>
      </c>
      <c r="C89" s="133" t="s">
        <v>216</v>
      </c>
      <c r="D89" s="156">
        <v>2014</v>
      </c>
      <c r="E89" s="133"/>
      <c r="F89" s="133">
        <v>4859</v>
      </c>
      <c r="G89" s="133"/>
      <c r="H89" s="133"/>
      <c r="I89" s="133"/>
      <c r="J89" s="133"/>
      <c r="K89" s="133"/>
      <c r="L89" s="133"/>
      <c r="M89" s="133"/>
      <c r="N89" s="133"/>
      <c r="O89" s="141"/>
    </row>
    <row r="90" spans="2:15" ht="15" customHeight="1" x14ac:dyDescent="0.2">
      <c r="B90" s="133" t="s">
        <v>217</v>
      </c>
      <c r="C90" s="133" t="s">
        <v>218</v>
      </c>
      <c r="D90" s="156">
        <v>2014</v>
      </c>
      <c r="E90" s="133"/>
      <c r="F90" s="133">
        <v>11885</v>
      </c>
      <c r="G90" s="133"/>
      <c r="H90" s="133"/>
      <c r="I90" s="133"/>
      <c r="J90" s="133"/>
      <c r="K90" s="133"/>
      <c r="L90" s="133"/>
      <c r="M90" s="133"/>
      <c r="N90" s="133"/>
      <c r="O90" s="141"/>
    </row>
    <row r="91" spans="2:15" ht="15" customHeight="1" x14ac:dyDescent="0.2">
      <c r="B91" s="133" t="s">
        <v>219</v>
      </c>
      <c r="C91" s="133" t="s">
        <v>220</v>
      </c>
      <c r="D91" s="156">
        <v>2014</v>
      </c>
      <c r="E91" s="133"/>
      <c r="F91" s="133">
        <v>17663</v>
      </c>
      <c r="G91" s="133"/>
      <c r="H91" s="133"/>
      <c r="I91" s="133"/>
      <c r="J91" s="133"/>
      <c r="K91" s="133"/>
      <c r="L91" s="133"/>
      <c r="M91" s="133"/>
      <c r="N91" s="133"/>
      <c r="O91" s="141"/>
    </row>
    <row r="92" spans="2:15" ht="15" customHeight="1" x14ac:dyDescent="0.2">
      <c r="B92" s="133" t="s">
        <v>232</v>
      </c>
      <c r="C92" s="133" t="s">
        <v>231</v>
      </c>
      <c r="D92" s="156">
        <v>2014</v>
      </c>
      <c r="E92" s="133"/>
      <c r="F92" s="133"/>
      <c r="G92" s="133"/>
      <c r="H92" s="133"/>
      <c r="I92" s="133">
        <v>14</v>
      </c>
      <c r="J92" s="133"/>
      <c r="K92" s="133"/>
      <c r="L92" s="133"/>
      <c r="M92" s="133"/>
      <c r="N92" s="133"/>
      <c r="O92" s="141"/>
    </row>
    <row r="93" spans="2:15" ht="15" customHeight="1" x14ac:dyDescent="0.2">
      <c r="B93" s="133"/>
      <c r="C93" s="133"/>
      <c r="D93" s="133"/>
      <c r="E93" s="133"/>
      <c r="F93" s="133"/>
      <c r="G93" s="133"/>
      <c r="H93" s="133"/>
      <c r="I93" s="133"/>
      <c r="J93" s="133"/>
      <c r="K93" s="133"/>
      <c r="L93" s="133"/>
      <c r="M93" s="133"/>
      <c r="N93" s="133"/>
      <c r="O93" s="141"/>
    </row>
    <row r="94" spans="2:15" ht="15" customHeight="1" x14ac:dyDescent="0.2">
      <c r="B94" s="133"/>
      <c r="C94" s="133"/>
      <c r="D94" s="133"/>
      <c r="E94" s="133"/>
      <c r="F94" s="133"/>
      <c r="G94" s="133"/>
      <c r="H94" s="133"/>
      <c r="I94" s="133"/>
      <c r="J94" s="133"/>
      <c r="K94" s="133"/>
      <c r="L94" s="133"/>
      <c r="M94" s="133"/>
      <c r="N94" s="133"/>
      <c r="O94" s="141"/>
    </row>
    <row r="95" spans="2:15" ht="15" customHeight="1" x14ac:dyDescent="0.2">
      <c r="B95" s="133"/>
      <c r="C95" s="133"/>
      <c r="D95" s="133"/>
      <c r="E95" s="133"/>
      <c r="F95" s="133"/>
      <c r="G95" s="133"/>
      <c r="H95" s="133"/>
      <c r="I95" s="133"/>
      <c r="J95" s="133"/>
      <c r="K95" s="133"/>
      <c r="L95" s="133"/>
      <c r="M95" s="133"/>
      <c r="N95" s="133"/>
      <c r="O95" s="141"/>
    </row>
    <row r="96" spans="2:15" ht="15" customHeight="1" x14ac:dyDescent="0.2">
      <c r="B96" s="126"/>
      <c r="C96" s="126"/>
      <c r="D96" s="126"/>
      <c r="E96" s="126"/>
      <c r="F96" s="126"/>
      <c r="G96" s="126"/>
      <c r="H96" s="126"/>
      <c r="I96" s="126"/>
      <c r="J96" s="126"/>
      <c r="K96" s="126"/>
      <c r="L96" s="126"/>
      <c r="M96" s="126"/>
      <c r="N96" s="126"/>
      <c r="O96" s="142"/>
    </row>
    <row r="97" spans="2:34" ht="15" customHeight="1" x14ac:dyDescent="0.2"/>
    <row r="98" spans="2:34" ht="15" customHeight="1" x14ac:dyDescent="0.2">
      <c r="B98" s="11"/>
      <c r="C98" s="11"/>
      <c r="D98" s="11"/>
      <c r="E98" s="10" t="s">
        <v>4</v>
      </c>
      <c r="F98" s="187" t="str">
        <f>C3</f>
        <v>Snohomish County PUD</v>
      </c>
      <c r="G98" s="188"/>
      <c r="H98" s="189"/>
    </row>
    <row r="99" spans="2:34" ht="15" customHeight="1" x14ac:dyDescent="0.2">
      <c r="E99" s="10" t="s">
        <v>47</v>
      </c>
      <c r="F99" s="190">
        <v>2015</v>
      </c>
      <c r="G99" s="191"/>
      <c r="H99" s="192"/>
    </row>
    <row r="100" spans="2:34" ht="15" customHeight="1" x14ac:dyDescent="0.2">
      <c r="B100" s="11" t="s">
        <v>62</v>
      </c>
      <c r="C100" s="11"/>
      <c r="D100" s="11"/>
      <c r="E100" s="10"/>
      <c r="F100" s="45"/>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4"/>
      <c r="C107" s="24"/>
      <c r="D107" s="24"/>
      <c r="E107" s="24"/>
      <c r="F107" s="24"/>
      <c r="G107" s="24"/>
      <c r="H107" s="24"/>
      <c r="I107" s="24"/>
      <c r="J107" s="24"/>
      <c r="K107" s="24"/>
      <c r="L107" s="24"/>
      <c r="M107" s="24"/>
    </row>
    <row r="108" spans="2:34" x14ac:dyDescent="0.2">
      <c r="B108" s="2" t="s">
        <v>63</v>
      </c>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oleObjects>
    <mc:AlternateContent xmlns:mc="http://schemas.openxmlformats.org/markup-compatibility/2006">
      <mc:Choice Requires="x14">
        <oleObject progId="Packager Shell Object" shapeId="5451" r:id="rId5">
          <objectPr defaultSize="0" autoPict="0" r:id="rId6">
            <anchor moveWithCells="1">
              <from>
                <xdr:col>9</xdr:col>
                <xdr:colOff>619125</xdr:colOff>
                <xdr:row>102</xdr:row>
                <xdr:rowOff>180975</xdr:rowOff>
              </from>
              <to>
                <xdr:col>11</xdr:col>
                <xdr:colOff>276225</xdr:colOff>
                <xdr:row>105</xdr:row>
                <xdr:rowOff>142875</xdr:rowOff>
              </to>
            </anchor>
          </objectPr>
        </oleObject>
      </mc:Choice>
      <mc:Fallback>
        <oleObject progId="Packager Shell Object" shapeId="5451" r:id="rId5"/>
      </mc:Fallback>
    </mc:AlternateContent>
  </oleObjects>
  <mc:AlternateContent xmlns:mc="http://schemas.openxmlformats.org/markup-compatibility/2006">
    <mc:Choice Requires="x14">
      <controls>
        <mc:AlternateContent xmlns:mc="http://schemas.openxmlformats.org/markup-compatibility/2006">
          <mc:Choice Requires="x14">
            <control shapeId="5448" r:id="rId7"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8"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9"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pageSetUpPr fitToPage="1"/>
  </sheetPr>
  <dimension ref="A1:L77"/>
  <sheetViews>
    <sheetView showGridLines="0" tabSelected="1" view="pageBreakPreview" topLeftCell="A19" zoomScaleNormal="100" zoomScaleSheetLayoutView="100" workbookViewId="0">
      <selection activeCell="F7" sqref="F7"/>
    </sheetView>
  </sheetViews>
  <sheetFormatPr defaultColWidth="9.140625" defaultRowHeight="12.75" x14ac:dyDescent="0.2"/>
  <cols>
    <col min="1" max="1" width="2.7109375" style="1" customWidth="1"/>
    <col min="2" max="2" width="30.140625" style="1" customWidth="1"/>
    <col min="3" max="3" width="10.85546875" style="1" customWidth="1"/>
    <col min="4" max="4" width="10.28515625" style="1" customWidth="1"/>
    <col min="5" max="5" width="14" style="1" customWidth="1"/>
    <col min="6" max="6" width="14.140625" style="1" customWidth="1"/>
    <col min="7"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8" t="s">
        <v>166</v>
      </c>
      <c r="C1" s="48"/>
      <c r="D1" s="48"/>
    </row>
    <row r="2" spans="2:12" ht="15" customHeight="1" x14ac:dyDescent="0.2"/>
    <row r="3" spans="2:12" ht="16.5" customHeight="1" x14ac:dyDescent="0.25">
      <c r="B3" s="149" t="s">
        <v>167</v>
      </c>
      <c r="C3" s="6"/>
      <c r="D3" s="6"/>
      <c r="E3" s="10" t="s">
        <v>4</v>
      </c>
      <c r="F3" s="187" t="str">
        <f>'Renewables Report'!$C$3</f>
        <v>Snohomish County PUD</v>
      </c>
      <c r="G3" s="188"/>
      <c r="H3" s="189"/>
    </row>
    <row r="4" spans="2:12" ht="15" customHeight="1" x14ac:dyDescent="0.2">
      <c r="E4" s="10" t="s">
        <v>13</v>
      </c>
      <c r="F4" s="200">
        <v>2015</v>
      </c>
      <c r="G4" s="201"/>
      <c r="H4" s="202"/>
    </row>
    <row r="5" spans="2:12" ht="15" customHeight="1" x14ac:dyDescent="0.2">
      <c r="E5" s="10"/>
      <c r="F5" s="89"/>
      <c r="G5" s="9"/>
      <c r="H5" s="9"/>
    </row>
    <row r="6" spans="2:12" ht="48" x14ac:dyDescent="0.2">
      <c r="B6" s="51" t="s">
        <v>35</v>
      </c>
      <c r="C6" s="94" t="s">
        <v>54</v>
      </c>
      <c r="D6" s="112" t="s">
        <v>7</v>
      </c>
      <c r="E6" s="107" t="s">
        <v>147</v>
      </c>
      <c r="F6" s="107" t="s">
        <v>149</v>
      </c>
      <c r="G6" s="206" t="s">
        <v>146</v>
      </c>
      <c r="H6" s="206"/>
      <c r="I6" s="206"/>
      <c r="J6" s="107" t="s">
        <v>148</v>
      </c>
      <c r="K6" s="107" t="s">
        <v>150</v>
      </c>
      <c r="L6" s="107" t="s">
        <v>151</v>
      </c>
    </row>
    <row r="7" spans="2:12" ht="15" customHeight="1" x14ac:dyDescent="0.2">
      <c r="B7" s="95" t="s">
        <v>202</v>
      </c>
      <c r="C7" s="96" t="s">
        <v>203</v>
      </c>
      <c r="D7" s="96" t="s">
        <v>233</v>
      </c>
      <c r="E7" s="143">
        <v>27491985.524427127</v>
      </c>
      <c r="F7" s="101" t="e">
        <f>IF(D7&gt;0,E7/D7,"")</f>
        <v>#VALUE!</v>
      </c>
      <c r="G7" s="207" t="s">
        <v>201</v>
      </c>
      <c r="H7" s="208"/>
      <c r="I7" s="209"/>
      <c r="J7" s="143">
        <v>10444051.589975787</v>
      </c>
      <c r="K7" s="101" t="e">
        <f>IF(D7&gt;0,J7/D7,"")</f>
        <v>#VALUE!</v>
      </c>
      <c r="L7" s="101">
        <f>MAX(0,E7-J7)</f>
        <v>17047933.934451342</v>
      </c>
    </row>
    <row r="8" spans="2:12" ht="15" customHeight="1" x14ac:dyDescent="0.2">
      <c r="B8" s="98" t="s">
        <v>204</v>
      </c>
      <c r="C8" s="99" t="s">
        <v>205</v>
      </c>
      <c r="D8" s="99" t="s">
        <v>233</v>
      </c>
      <c r="E8" s="144">
        <v>26007217.124251835</v>
      </c>
      <c r="F8" s="102" t="e">
        <f t="shared" ref="F8:F27" si="0">IF(D8&gt;0,E8/D8,"")</f>
        <v>#VALUE!</v>
      </c>
      <c r="G8" s="197" t="s">
        <v>201</v>
      </c>
      <c r="H8" s="198"/>
      <c r="I8" s="199"/>
      <c r="J8" s="144">
        <v>10097490.824949384</v>
      </c>
      <c r="K8" s="102" t="e">
        <f t="shared" ref="K8:K27" si="1">IF(D8&gt;0,J8/D8,"")</f>
        <v>#VALUE!</v>
      </c>
      <c r="L8" s="102">
        <f t="shared" ref="L8:L27" si="2">MAX(0,E8-J8)</f>
        <v>15909726.299302451</v>
      </c>
    </row>
    <row r="9" spans="2:12" ht="15" customHeight="1" x14ac:dyDescent="0.2">
      <c r="B9" s="98" t="s">
        <v>206</v>
      </c>
      <c r="C9" s="99" t="s">
        <v>207</v>
      </c>
      <c r="D9" s="99" t="s">
        <v>233</v>
      </c>
      <c r="E9" s="144">
        <v>4897129.9189434983</v>
      </c>
      <c r="F9" s="102" t="e">
        <f t="shared" si="0"/>
        <v>#VALUE!</v>
      </c>
      <c r="G9" s="197" t="s">
        <v>201</v>
      </c>
      <c r="H9" s="198"/>
      <c r="I9" s="199"/>
      <c r="J9" s="144">
        <v>2094765.2486881595</v>
      </c>
      <c r="K9" s="102" t="e">
        <f t="shared" si="1"/>
        <v>#VALUE!</v>
      </c>
      <c r="L9" s="102">
        <f t="shared" si="2"/>
        <v>2802364.6702553388</v>
      </c>
    </row>
    <row r="10" spans="2:12" ht="15" customHeight="1" x14ac:dyDescent="0.2">
      <c r="B10" s="98"/>
      <c r="C10" s="99"/>
      <c r="D10" s="100"/>
      <c r="E10" s="144"/>
      <c r="F10" s="102" t="str">
        <f t="shared" si="0"/>
        <v/>
      </c>
      <c r="G10" s="197"/>
      <c r="H10" s="198"/>
      <c r="I10" s="199"/>
      <c r="J10" s="144"/>
      <c r="K10" s="102" t="str">
        <f t="shared" si="1"/>
        <v/>
      </c>
      <c r="L10" s="102">
        <f t="shared" si="2"/>
        <v>0</v>
      </c>
    </row>
    <row r="11" spans="2:12" ht="15" customHeight="1" x14ac:dyDescent="0.2">
      <c r="B11" s="98"/>
      <c r="C11" s="99"/>
      <c r="D11" s="100"/>
      <c r="E11" s="144"/>
      <c r="F11" s="102" t="str">
        <f t="shared" si="0"/>
        <v/>
      </c>
      <c r="G11" s="197"/>
      <c r="H11" s="198"/>
      <c r="I11" s="199"/>
      <c r="J11" s="144"/>
      <c r="K11" s="102" t="str">
        <f t="shared" si="1"/>
        <v/>
      </c>
      <c r="L11" s="102">
        <f t="shared" si="2"/>
        <v>0</v>
      </c>
    </row>
    <row r="12" spans="2:12" ht="15" customHeight="1" x14ac:dyDescent="0.2">
      <c r="B12" s="98"/>
      <c r="C12" s="99"/>
      <c r="D12" s="100"/>
      <c r="E12" s="144"/>
      <c r="F12" s="102" t="str">
        <f t="shared" si="0"/>
        <v/>
      </c>
      <c r="G12" s="197"/>
      <c r="H12" s="198"/>
      <c r="I12" s="199"/>
      <c r="J12" s="144"/>
      <c r="K12" s="102" t="str">
        <f t="shared" si="1"/>
        <v/>
      </c>
      <c r="L12" s="102">
        <f t="shared" si="2"/>
        <v>0</v>
      </c>
    </row>
    <row r="13" spans="2:12" ht="15" customHeight="1" x14ac:dyDescent="0.2">
      <c r="B13" s="98">
        <f>'Renewables Report'!B50</f>
        <v>0</v>
      </c>
      <c r="C13" s="99">
        <f>'Renewables Report'!C50</f>
        <v>0</v>
      </c>
      <c r="D13" s="100">
        <f>SUM('Renewables Report'!E50:M50)</f>
        <v>0</v>
      </c>
      <c r="E13" s="144"/>
      <c r="F13" s="102" t="str">
        <f t="shared" si="0"/>
        <v/>
      </c>
      <c r="G13" s="197"/>
      <c r="H13" s="198"/>
      <c r="I13" s="199"/>
      <c r="J13" s="144"/>
      <c r="K13" s="102" t="str">
        <f t="shared" si="1"/>
        <v/>
      </c>
      <c r="L13" s="102">
        <f t="shared" si="2"/>
        <v>0</v>
      </c>
    </row>
    <row r="14" spans="2:12" ht="15" customHeight="1" x14ac:dyDescent="0.2">
      <c r="B14" s="98">
        <f>'Renewables Report'!B51</f>
        <v>0</v>
      </c>
      <c r="C14" s="99">
        <f>'Renewables Report'!C51</f>
        <v>0</v>
      </c>
      <c r="D14" s="100">
        <f>SUM('Renewables Report'!E51:M51)</f>
        <v>0</v>
      </c>
      <c r="E14" s="144"/>
      <c r="F14" s="102" t="str">
        <f t="shared" si="0"/>
        <v/>
      </c>
      <c r="G14" s="197"/>
      <c r="H14" s="198"/>
      <c r="I14" s="199"/>
      <c r="J14" s="144"/>
      <c r="K14" s="102" t="str">
        <f t="shared" si="1"/>
        <v/>
      </c>
      <c r="L14" s="102">
        <f t="shared" si="2"/>
        <v>0</v>
      </c>
    </row>
    <row r="15" spans="2:12" ht="15" customHeight="1" x14ac:dyDescent="0.2">
      <c r="B15" s="98">
        <f>'Renewables Report'!B52</f>
        <v>0</v>
      </c>
      <c r="C15" s="99">
        <f>'Renewables Report'!C52</f>
        <v>0</v>
      </c>
      <c r="D15" s="100">
        <f>SUM('Renewables Report'!E52:M52)</f>
        <v>0</v>
      </c>
      <c r="E15" s="144"/>
      <c r="F15" s="102" t="str">
        <f t="shared" si="0"/>
        <v/>
      </c>
      <c r="G15" s="197"/>
      <c r="H15" s="198"/>
      <c r="I15" s="199"/>
      <c r="J15" s="144"/>
      <c r="K15" s="102" t="str">
        <f t="shared" si="1"/>
        <v/>
      </c>
      <c r="L15" s="102">
        <f t="shared" si="2"/>
        <v>0</v>
      </c>
    </row>
    <row r="16" spans="2:12" ht="15" customHeight="1" x14ac:dyDescent="0.2">
      <c r="B16" s="98">
        <f>'Renewables Report'!B53</f>
        <v>0</v>
      </c>
      <c r="C16" s="99">
        <f>'Renewables Report'!C53</f>
        <v>0</v>
      </c>
      <c r="D16" s="100">
        <f>SUM('Renewables Report'!E53:M53)</f>
        <v>0</v>
      </c>
      <c r="E16" s="144"/>
      <c r="F16" s="102" t="str">
        <f t="shared" si="0"/>
        <v/>
      </c>
      <c r="G16" s="197"/>
      <c r="H16" s="198"/>
      <c r="I16" s="199"/>
      <c r="J16" s="144"/>
      <c r="K16" s="102" t="str">
        <f t="shared" si="1"/>
        <v/>
      </c>
      <c r="L16" s="102">
        <f t="shared" si="2"/>
        <v>0</v>
      </c>
    </row>
    <row r="17" spans="2:12" ht="15" customHeight="1" x14ac:dyDescent="0.2">
      <c r="B17" s="98">
        <f>'Renewables Report'!B54</f>
        <v>0</v>
      </c>
      <c r="C17" s="99">
        <f>'Renewables Report'!C54</f>
        <v>0</v>
      </c>
      <c r="D17" s="100">
        <f>SUM('Renewables Report'!E54:M54)</f>
        <v>0</v>
      </c>
      <c r="E17" s="144"/>
      <c r="F17" s="102" t="str">
        <f t="shared" si="0"/>
        <v/>
      </c>
      <c r="G17" s="197"/>
      <c r="H17" s="198"/>
      <c r="I17" s="199"/>
      <c r="J17" s="144"/>
      <c r="K17" s="102" t="str">
        <f t="shared" si="1"/>
        <v/>
      </c>
      <c r="L17" s="102">
        <f t="shared" si="2"/>
        <v>0</v>
      </c>
    </row>
    <row r="18" spans="2:12" ht="15" customHeight="1" x14ac:dyDescent="0.2">
      <c r="B18" s="98">
        <f>'Renewables Report'!B55</f>
        <v>0</v>
      </c>
      <c r="C18" s="99">
        <f>'Renewables Report'!C55</f>
        <v>0</v>
      </c>
      <c r="D18" s="100">
        <f>SUM('Renewables Report'!E55:M55)</f>
        <v>0</v>
      </c>
      <c r="E18" s="144"/>
      <c r="F18" s="102" t="str">
        <f t="shared" si="0"/>
        <v/>
      </c>
      <c r="G18" s="197"/>
      <c r="H18" s="198"/>
      <c r="I18" s="199"/>
      <c r="J18" s="144"/>
      <c r="K18" s="102" t="str">
        <f t="shared" si="1"/>
        <v/>
      </c>
      <c r="L18" s="102">
        <f t="shared" si="2"/>
        <v>0</v>
      </c>
    </row>
    <row r="19" spans="2:12" ht="15" customHeight="1" x14ac:dyDescent="0.2">
      <c r="B19" s="98">
        <f>'Renewables Report'!B56</f>
        <v>0</v>
      </c>
      <c r="C19" s="99">
        <f>'Renewables Report'!C56</f>
        <v>0</v>
      </c>
      <c r="D19" s="100">
        <f>SUM('Renewables Report'!E56:M56)</f>
        <v>0</v>
      </c>
      <c r="E19" s="144"/>
      <c r="F19" s="102" t="str">
        <f t="shared" si="0"/>
        <v/>
      </c>
      <c r="G19" s="197"/>
      <c r="H19" s="198"/>
      <c r="I19" s="199"/>
      <c r="J19" s="144"/>
      <c r="K19" s="102" t="str">
        <f t="shared" si="1"/>
        <v/>
      </c>
      <c r="L19" s="102">
        <f t="shared" si="2"/>
        <v>0</v>
      </c>
    </row>
    <row r="20" spans="2:12" ht="15" customHeight="1" x14ac:dyDescent="0.2">
      <c r="B20" s="98">
        <f>'Renewables Report'!B57</f>
        <v>0</v>
      </c>
      <c r="C20" s="99">
        <f>'Renewables Report'!C57</f>
        <v>0</v>
      </c>
      <c r="D20" s="100">
        <f>SUM('Renewables Report'!E57:M57)</f>
        <v>0</v>
      </c>
      <c r="E20" s="144"/>
      <c r="F20" s="102" t="str">
        <f t="shared" si="0"/>
        <v/>
      </c>
      <c r="G20" s="197"/>
      <c r="H20" s="198"/>
      <c r="I20" s="199"/>
      <c r="J20" s="144"/>
      <c r="K20" s="102" t="str">
        <f t="shared" si="1"/>
        <v/>
      </c>
      <c r="L20" s="102">
        <f t="shared" si="2"/>
        <v>0</v>
      </c>
    </row>
    <row r="21" spans="2:12" ht="15" customHeight="1" x14ac:dyDescent="0.2">
      <c r="B21" s="98">
        <f>'Renewables Report'!B58</f>
        <v>0</v>
      </c>
      <c r="C21" s="99">
        <f>'Renewables Report'!C58</f>
        <v>0</v>
      </c>
      <c r="D21" s="100">
        <f>SUM('Renewables Report'!E58:M58)</f>
        <v>0</v>
      </c>
      <c r="E21" s="144"/>
      <c r="F21" s="102" t="str">
        <f t="shared" si="0"/>
        <v/>
      </c>
      <c r="G21" s="197"/>
      <c r="H21" s="198"/>
      <c r="I21" s="199"/>
      <c r="J21" s="144"/>
      <c r="K21" s="102" t="str">
        <f t="shared" si="1"/>
        <v/>
      </c>
      <c r="L21" s="102">
        <f t="shared" si="2"/>
        <v>0</v>
      </c>
    </row>
    <row r="22" spans="2:12" ht="15" customHeight="1" x14ac:dyDescent="0.2">
      <c r="B22" s="98">
        <f>'Renewables Report'!B59</f>
        <v>0</v>
      </c>
      <c r="C22" s="99">
        <f>'Renewables Report'!C59</f>
        <v>0</v>
      </c>
      <c r="D22" s="100">
        <f>SUM('Renewables Report'!E59:M59)</f>
        <v>0</v>
      </c>
      <c r="E22" s="144"/>
      <c r="F22" s="102" t="str">
        <f t="shared" si="0"/>
        <v/>
      </c>
      <c r="G22" s="197"/>
      <c r="H22" s="198"/>
      <c r="I22" s="199"/>
      <c r="J22" s="144"/>
      <c r="K22" s="102" t="str">
        <f t="shared" si="1"/>
        <v/>
      </c>
      <c r="L22" s="102">
        <f t="shared" si="2"/>
        <v>0</v>
      </c>
    </row>
    <row r="23" spans="2:12" ht="15" customHeight="1" x14ac:dyDescent="0.2">
      <c r="B23" s="98">
        <f>'Renewables Report'!B60</f>
        <v>0</v>
      </c>
      <c r="C23" s="99">
        <f>'Renewables Report'!C60</f>
        <v>0</v>
      </c>
      <c r="D23" s="100">
        <f>SUM('Renewables Report'!E60:M60)</f>
        <v>0</v>
      </c>
      <c r="E23" s="144"/>
      <c r="F23" s="102" t="str">
        <f t="shared" si="0"/>
        <v/>
      </c>
      <c r="G23" s="197"/>
      <c r="H23" s="198"/>
      <c r="I23" s="199"/>
      <c r="J23" s="144"/>
      <c r="K23" s="102" t="str">
        <f t="shared" si="1"/>
        <v/>
      </c>
      <c r="L23" s="102">
        <f t="shared" si="2"/>
        <v>0</v>
      </c>
    </row>
    <row r="24" spans="2:12" ht="15" customHeight="1" x14ac:dyDescent="0.2">
      <c r="B24" s="98">
        <f>'Renewables Report'!B61</f>
        <v>0</v>
      </c>
      <c r="C24" s="99">
        <f>'Renewables Report'!C61</f>
        <v>0</v>
      </c>
      <c r="D24" s="100">
        <f>SUM('Renewables Report'!E61:M61)</f>
        <v>0</v>
      </c>
      <c r="E24" s="144"/>
      <c r="F24" s="102" t="str">
        <f t="shared" si="0"/>
        <v/>
      </c>
      <c r="G24" s="197"/>
      <c r="H24" s="198"/>
      <c r="I24" s="199"/>
      <c r="J24" s="144"/>
      <c r="K24" s="102" t="str">
        <f t="shared" si="1"/>
        <v/>
      </c>
      <c r="L24" s="102">
        <f t="shared" si="2"/>
        <v>0</v>
      </c>
    </row>
    <row r="25" spans="2:12" ht="15" customHeight="1" x14ac:dyDescent="0.2">
      <c r="B25" s="98">
        <f>'Renewables Report'!B62</f>
        <v>0</v>
      </c>
      <c r="C25" s="99">
        <f>'Renewables Report'!C62</f>
        <v>0</v>
      </c>
      <c r="D25" s="100">
        <f>SUM('Renewables Report'!E62:M62)</f>
        <v>0</v>
      </c>
      <c r="E25" s="144"/>
      <c r="F25" s="102" t="str">
        <f t="shared" si="0"/>
        <v/>
      </c>
      <c r="G25" s="197"/>
      <c r="H25" s="198"/>
      <c r="I25" s="199"/>
      <c r="J25" s="144"/>
      <c r="K25" s="102" t="str">
        <f t="shared" si="1"/>
        <v/>
      </c>
      <c r="L25" s="102">
        <f t="shared" si="2"/>
        <v>0</v>
      </c>
    </row>
    <row r="26" spans="2:12" ht="15" customHeight="1" x14ac:dyDescent="0.2">
      <c r="B26" s="98">
        <f>'Renewables Report'!B63</f>
        <v>0</v>
      </c>
      <c r="C26" s="99">
        <f>'Renewables Report'!C63</f>
        <v>0</v>
      </c>
      <c r="D26" s="100">
        <f>SUM('Renewables Report'!E63:M63)</f>
        <v>0</v>
      </c>
      <c r="E26" s="144"/>
      <c r="F26" s="102" t="str">
        <f t="shared" si="0"/>
        <v/>
      </c>
      <c r="G26" s="197"/>
      <c r="H26" s="198"/>
      <c r="I26" s="199"/>
      <c r="J26" s="144"/>
      <c r="K26" s="102" t="str">
        <f t="shared" si="1"/>
        <v/>
      </c>
      <c r="L26" s="102">
        <f t="shared" si="2"/>
        <v>0</v>
      </c>
    </row>
    <row r="27" spans="2:12" ht="15" customHeight="1" x14ac:dyDescent="0.2">
      <c r="B27" s="103">
        <f>'Renewables Report'!B64</f>
        <v>0</v>
      </c>
      <c r="C27" s="104">
        <f>'Renewables Report'!C64</f>
        <v>0</v>
      </c>
      <c r="D27" s="105">
        <f>SUM('Renewables Report'!E64:M64)</f>
        <v>0</v>
      </c>
      <c r="E27" s="145"/>
      <c r="F27" s="106" t="str">
        <f t="shared" si="0"/>
        <v/>
      </c>
      <c r="G27" s="203"/>
      <c r="H27" s="204"/>
      <c r="I27" s="205"/>
      <c r="J27" s="145"/>
      <c r="K27" s="106" t="str">
        <f t="shared" si="1"/>
        <v/>
      </c>
      <c r="L27" s="106">
        <f t="shared" si="2"/>
        <v>0</v>
      </c>
    </row>
    <row r="28" spans="2:12" ht="15" customHeight="1" x14ac:dyDescent="0.2">
      <c r="B28" s="108" t="s">
        <v>152</v>
      </c>
      <c r="C28" s="108"/>
      <c r="D28" s="110">
        <f>SUM(D7:D27)</f>
        <v>0</v>
      </c>
      <c r="E28" s="111">
        <f>SUM(E7:E27)</f>
        <v>58396332.567622453</v>
      </c>
      <c r="F28" s="111"/>
      <c r="G28" s="111"/>
      <c r="H28" s="111"/>
      <c r="I28" s="111"/>
      <c r="J28" s="111">
        <f>SUM(J7:J27)</f>
        <v>22636307.663613334</v>
      </c>
      <c r="K28" s="109"/>
      <c r="L28" s="111">
        <f>SUM(L7:L27)</f>
        <v>35760024.904009134</v>
      </c>
    </row>
    <row r="29" spans="2:12" ht="15" customHeight="1" x14ac:dyDescent="0.2">
      <c r="E29" s="7"/>
      <c r="F29" s="7"/>
      <c r="G29" s="7"/>
      <c r="H29" s="7"/>
      <c r="I29" s="7"/>
      <c r="J29" s="7"/>
      <c r="K29" s="7"/>
      <c r="L29" s="7"/>
    </row>
    <row r="30" spans="2:12" ht="17.25" customHeight="1" x14ac:dyDescent="0.25">
      <c r="B30" s="149" t="s">
        <v>168</v>
      </c>
      <c r="C30" s="119"/>
      <c r="D30" s="6"/>
      <c r="E30" s="10" t="s">
        <v>4</v>
      </c>
      <c r="F30" s="187" t="str">
        <f>F3</f>
        <v>Snohomish County PUD</v>
      </c>
      <c r="G30" s="188"/>
      <c r="H30" s="189"/>
    </row>
    <row r="31" spans="2:12" ht="15" customHeight="1" x14ac:dyDescent="0.2">
      <c r="B31" s="119"/>
      <c r="C31" s="119"/>
      <c r="E31" s="10" t="s">
        <v>13</v>
      </c>
      <c r="F31" s="200">
        <v>2015</v>
      </c>
      <c r="G31" s="201"/>
      <c r="H31" s="202"/>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36" x14ac:dyDescent="0.2">
      <c r="B34" s="51" t="s">
        <v>35</v>
      </c>
      <c r="C34" s="33" t="s">
        <v>54</v>
      </c>
      <c r="D34" s="51" t="s">
        <v>55</v>
      </c>
      <c r="E34" s="150" t="s">
        <v>194</v>
      </c>
      <c r="F34" s="107" t="s">
        <v>195</v>
      </c>
      <c r="G34" s="107" t="s">
        <v>196</v>
      </c>
    </row>
    <row r="35" spans="1:12" ht="15" customHeight="1" x14ac:dyDescent="0.2">
      <c r="A35" s="7"/>
      <c r="B35" s="95"/>
      <c r="C35" s="96"/>
      <c r="D35" s="97"/>
      <c r="E35" s="97"/>
      <c r="F35" s="143"/>
      <c r="G35" s="153" t="str">
        <f>IF(E35&gt;0,F35/E35,"")</f>
        <v/>
      </c>
    </row>
    <row r="36" spans="1:12" ht="15" customHeight="1" x14ac:dyDescent="0.2">
      <c r="A36" s="7"/>
      <c r="B36" s="98"/>
      <c r="C36" s="99"/>
      <c r="D36" s="100"/>
      <c r="E36" s="100"/>
      <c r="F36" s="144"/>
      <c r="G36" s="152" t="str">
        <f t="shared" ref="G36:G42" si="3">IF(E36&gt;0,F36/E36,"")</f>
        <v/>
      </c>
    </row>
    <row r="37" spans="1:12" ht="15" customHeight="1" x14ac:dyDescent="0.2">
      <c r="A37" s="7"/>
      <c r="B37" s="98"/>
      <c r="C37" s="99"/>
      <c r="D37" s="100"/>
      <c r="E37" s="100"/>
      <c r="F37" s="144"/>
      <c r="G37" s="152" t="str">
        <f t="shared" si="3"/>
        <v/>
      </c>
    </row>
    <row r="38" spans="1:12" ht="15" customHeight="1" x14ac:dyDescent="0.2">
      <c r="A38" s="7"/>
      <c r="B38" s="98"/>
      <c r="C38" s="99"/>
      <c r="D38" s="100"/>
      <c r="E38" s="100"/>
      <c r="F38" s="144"/>
      <c r="G38" s="152" t="str">
        <f t="shared" si="3"/>
        <v/>
      </c>
    </row>
    <row r="39" spans="1:12" ht="15" customHeight="1" x14ac:dyDescent="0.2">
      <c r="A39" s="7"/>
      <c r="B39" s="98"/>
      <c r="C39" s="99"/>
      <c r="D39" s="100"/>
      <c r="E39" s="100"/>
      <c r="F39" s="144"/>
      <c r="G39" s="152" t="str">
        <f t="shared" si="3"/>
        <v/>
      </c>
    </row>
    <row r="40" spans="1:12" ht="15" customHeight="1" x14ac:dyDescent="0.2">
      <c r="A40" s="7"/>
      <c r="B40" s="98"/>
      <c r="C40" s="99"/>
      <c r="D40" s="100"/>
      <c r="E40" s="100"/>
      <c r="F40" s="144"/>
      <c r="G40" s="152" t="str">
        <f t="shared" si="3"/>
        <v/>
      </c>
    </row>
    <row r="41" spans="1:12" ht="15" customHeight="1" x14ac:dyDescent="0.2">
      <c r="A41" s="7"/>
      <c r="B41" s="98"/>
      <c r="C41" s="99"/>
      <c r="D41" s="100"/>
      <c r="E41" s="100"/>
      <c r="F41" s="144"/>
      <c r="G41" s="152" t="str">
        <f t="shared" si="3"/>
        <v/>
      </c>
    </row>
    <row r="42" spans="1:12" ht="15" customHeight="1" x14ac:dyDescent="0.2">
      <c r="B42" s="98"/>
      <c r="C42" s="99"/>
      <c r="D42" s="100"/>
      <c r="E42" s="100"/>
      <c r="F42" s="144"/>
      <c r="G42" s="152" t="str">
        <f t="shared" si="3"/>
        <v/>
      </c>
    </row>
    <row r="43" spans="1:12" ht="15" customHeight="1" x14ac:dyDescent="0.2">
      <c r="B43" s="98"/>
      <c r="C43" s="99"/>
      <c r="D43" s="100"/>
      <c r="E43" s="100"/>
      <c r="F43" s="144"/>
      <c r="G43" s="152"/>
    </row>
    <row r="44" spans="1:12" ht="15" customHeight="1" x14ac:dyDescent="0.2">
      <c r="B44" s="98"/>
      <c r="C44" s="99"/>
      <c r="D44" s="100"/>
      <c r="E44" s="100"/>
      <c r="F44" s="144"/>
      <c r="G44" s="152"/>
    </row>
    <row r="45" spans="1:12" ht="15" customHeight="1" x14ac:dyDescent="0.2">
      <c r="B45" s="98"/>
      <c r="C45" s="99"/>
      <c r="D45" s="100"/>
      <c r="E45" s="100"/>
      <c r="F45" s="144"/>
      <c r="G45" s="152"/>
    </row>
    <row r="46" spans="1:12" ht="15" customHeight="1" x14ac:dyDescent="0.2">
      <c r="B46" s="98"/>
      <c r="C46" s="99"/>
      <c r="D46" s="100"/>
      <c r="E46" s="100"/>
      <c r="F46" s="144"/>
      <c r="G46" s="152"/>
    </row>
    <row r="47" spans="1:12" ht="15" customHeight="1" x14ac:dyDescent="0.2">
      <c r="B47" s="98"/>
      <c r="C47" s="99"/>
      <c r="D47" s="100"/>
      <c r="E47" s="100"/>
      <c r="F47" s="144"/>
      <c r="G47" s="152"/>
    </row>
    <row r="48" spans="1:12" ht="15" customHeight="1" x14ac:dyDescent="0.2">
      <c r="B48" s="98"/>
      <c r="C48" s="99"/>
      <c r="D48" s="100"/>
      <c r="E48" s="100"/>
      <c r="F48" s="144"/>
      <c r="G48" s="152"/>
    </row>
    <row r="49" spans="2:12" ht="15" customHeight="1" x14ac:dyDescent="0.2">
      <c r="B49" s="98"/>
      <c r="C49" s="99"/>
      <c r="D49" s="100"/>
      <c r="E49" s="100"/>
      <c r="F49" s="144"/>
      <c r="G49" s="152"/>
    </row>
    <row r="50" spans="2:12" ht="15" customHeight="1" x14ac:dyDescent="0.2">
      <c r="B50" s="98"/>
      <c r="C50" s="99"/>
      <c r="D50" s="100"/>
      <c r="E50" s="100"/>
      <c r="F50" s="144"/>
      <c r="G50" s="152"/>
    </row>
    <row r="51" spans="2:12" ht="15" customHeight="1" x14ac:dyDescent="0.2">
      <c r="B51" s="98"/>
      <c r="C51" s="99"/>
      <c r="D51" s="100"/>
      <c r="E51" s="100"/>
      <c r="F51" s="144"/>
      <c r="G51" s="152"/>
    </row>
    <row r="52" spans="2:12" ht="15" customHeight="1" x14ac:dyDescent="0.2">
      <c r="B52" s="98"/>
      <c r="C52" s="99"/>
      <c r="D52" s="100"/>
      <c r="E52" s="100"/>
      <c r="F52" s="144"/>
      <c r="G52" s="152"/>
    </row>
    <row r="53" spans="2:12" ht="15" customHeight="1" x14ac:dyDescent="0.2">
      <c r="B53" s="98"/>
      <c r="C53" s="99"/>
      <c r="D53" s="100"/>
      <c r="E53" s="100"/>
      <c r="F53" s="144"/>
      <c r="G53" s="152"/>
    </row>
    <row r="54" spans="2:12" ht="15" customHeight="1" x14ac:dyDescent="0.2">
      <c r="B54" s="98"/>
      <c r="C54" s="99"/>
      <c r="D54" s="100"/>
      <c r="E54" s="100"/>
      <c r="F54" s="144"/>
      <c r="G54" s="152"/>
    </row>
    <row r="55" spans="2:12" ht="15" customHeight="1" x14ac:dyDescent="0.2">
      <c r="B55" s="98"/>
      <c r="C55" s="99"/>
      <c r="D55" s="100"/>
      <c r="E55" s="100"/>
      <c r="F55" s="144"/>
      <c r="G55" s="152"/>
    </row>
    <row r="56" spans="2:12" ht="15" customHeight="1" x14ac:dyDescent="0.2">
      <c r="B56" s="98"/>
      <c r="C56" s="99"/>
      <c r="D56" s="100"/>
      <c r="E56" s="100"/>
      <c r="F56" s="144"/>
      <c r="G56" s="152"/>
    </row>
    <row r="57" spans="2:12" ht="15" customHeight="1" x14ac:dyDescent="0.2">
      <c r="B57" s="98"/>
      <c r="C57" s="99"/>
      <c r="D57" s="100"/>
      <c r="E57" s="100"/>
      <c r="F57" s="144"/>
      <c r="G57" s="152"/>
    </row>
    <row r="58" spans="2:12" ht="15" customHeight="1" x14ac:dyDescent="0.2">
      <c r="B58" s="98"/>
      <c r="C58" s="99"/>
      <c r="D58" s="100"/>
      <c r="E58" s="100"/>
      <c r="F58" s="144"/>
      <c r="G58" s="152"/>
    </row>
    <row r="59" spans="2:12" ht="15" customHeight="1" x14ac:dyDescent="0.2">
      <c r="B59" s="103"/>
      <c r="C59" s="104"/>
      <c r="D59" s="105"/>
      <c r="E59" s="105"/>
      <c r="F59" s="146"/>
      <c r="G59" s="154"/>
    </row>
    <row r="60" spans="2:12" ht="15" customHeight="1" x14ac:dyDescent="0.2">
      <c r="B60" s="108" t="s">
        <v>6</v>
      </c>
      <c r="C60" s="113"/>
      <c r="D60" s="113"/>
      <c r="E60" s="151"/>
      <c r="F60" s="111">
        <f>SUM(F35:F59)</f>
        <v>0</v>
      </c>
      <c r="G60" s="151"/>
    </row>
    <row r="61" spans="2:12" ht="15" customHeight="1" x14ac:dyDescent="0.2">
      <c r="B61" s="11"/>
      <c r="C61" s="11"/>
      <c r="D61" s="11"/>
      <c r="E61" s="10"/>
    </row>
    <row r="62" spans="2:12" ht="15" customHeight="1" x14ac:dyDescent="0.2">
      <c r="E62" s="10"/>
    </row>
    <row r="63" spans="2:12" ht="15" customHeight="1" x14ac:dyDescent="0.2">
      <c r="B63" s="11" t="s">
        <v>165</v>
      </c>
      <c r="C63" s="11"/>
      <c r="D63" s="11"/>
      <c r="E63" s="10"/>
      <c r="F63" s="89"/>
    </row>
    <row r="64" spans="2:12" ht="15" customHeight="1" x14ac:dyDescent="0.2">
      <c r="B64" s="88"/>
      <c r="C64" s="88"/>
      <c r="D64" s="88"/>
      <c r="E64" s="88"/>
      <c r="F64" s="88"/>
      <c r="G64" s="88"/>
      <c r="H64" s="88"/>
      <c r="I64" s="88"/>
      <c r="J64" s="88"/>
      <c r="K64" s="88"/>
      <c r="L64" s="88"/>
    </row>
    <row r="65" spans="2:12" ht="15" customHeight="1" x14ac:dyDescent="0.2">
      <c r="B65" s="88"/>
      <c r="C65" s="88"/>
      <c r="D65" s="88"/>
      <c r="E65" s="88"/>
      <c r="F65" s="88"/>
      <c r="G65" s="88"/>
      <c r="H65" s="88"/>
      <c r="I65" s="88"/>
      <c r="J65" s="88"/>
      <c r="K65" s="88"/>
      <c r="L65" s="88"/>
    </row>
    <row r="66" spans="2:12" s="7" customFormat="1" ht="15" customHeight="1" x14ac:dyDescent="0.2">
      <c r="B66" s="88"/>
      <c r="C66" s="88"/>
      <c r="D66" s="88"/>
      <c r="E66" s="88"/>
      <c r="F66" s="88"/>
      <c r="G66" s="88"/>
      <c r="H66" s="88"/>
      <c r="I66" s="88"/>
      <c r="J66" s="88"/>
      <c r="K66" s="88"/>
      <c r="L66" s="88"/>
    </row>
    <row r="67" spans="2:12" s="7" customFormat="1" ht="15" customHeight="1" x14ac:dyDescent="0.2">
      <c r="B67" s="88"/>
      <c r="C67" s="88"/>
      <c r="D67" s="88"/>
      <c r="E67" s="88"/>
      <c r="F67" s="88"/>
      <c r="G67" s="88"/>
      <c r="H67" s="88"/>
      <c r="I67" s="88"/>
      <c r="J67" s="88"/>
      <c r="K67" s="88"/>
      <c r="L67" s="88"/>
    </row>
    <row r="68" spans="2:12" s="7" customFormat="1" x14ac:dyDescent="0.2">
      <c r="B68" s="88"/>
      <c r="C68" s="88"/>
      <c r="D68" s="88"/>
      <c r="E68" s="88"/>
      <c r="F68" s="88"/>
      <c r="G68" s="88"/>
      <c r="H68" s="88"/>
      <c r="I68" s="88"/>
      <c r="J68" s="88"/>
      <c r="K68" s="88"/>
      <c r="L68" s="88"/>
    </row>
    <row r="69" spans="2:12" s="7" customFormat="1" x14ac:dyDescent="0.2">
      <c r="B69" s="88"/>
      <c r="C69" s="88"/>
      <c r="D69" s="88"/>
      <c r="E69" s="88"/>
      <c r="F69" s="88"/>
      <c r="G69" s="88"/>
      <c r="H69" s="88"/>
      <c r="I69" s="88"/>
      <c r="J69" s="88"/>
      <c r="K69" s="88"/>
      <c r="L69" s="88"/>
    </row>
    <row r="70" spans="2:12" s="7" customFormat="1" x14ac:dyDescent="0.2">
      <c r="B70" s="88"/>
      <c r="C70" s="88"/>
      <c r="D70" s="88"/>
      <c r="E70" s="88"/>
      <c r="F70" s="88"/>
      <c r="G70" s="88"/>
      <c r="H70" s="88"/>
      <c r="I70" s="88"/>
      <c r="J70" s="88"/>
      <c r="K70" s="88"/>
      <c r="L70" s="88"/>
    </row>
    <row r="71" spans="2:12" x14ac:dyDescent="0.2">
      <c r="B71" s="88"/>
      <c r="C71" s="88"/>
      <c r="D71" s="88"/>
      <c r="E71" s="88"/>
      <c r="F71" s="88"/>
      <c r="G71" s="88"/>
      <c r="H71" s="88"/>
      <c r="I71" s="88"/>
      <c r="J71" s="88"/>
      <c r="K71" s="88"/>
      <c r="L71" s="88"/>
    </row>
    <row r="72" spans="2:12" x14ac:dyDescent="0.2">
      <c r="B72" s="88"/>
      <c r="C72" s="88"/>
      <c r="D72" s="88"/>
      <c r="E72" s="88"/>
      <c r="F72" s="88"/>
      <c r="G72" s="88"/>
      <c r="H72" s="88"/>
      <c r="I72" s="88"/>
      <c r="J72" s="88"/>
      <c r="K72" s="88"/>
      <c r="L72" s="88"/>
    </row>
    <row r="73" spans="2:12" x14ac:dyDescent="0.2">
      <c r="B73" s="88"/>
      <c r="C73" s="88"/>
      <c r="D73" s="88"/>
      <c r="E73" s="88"/>
      <c r="F73" s="88"/>
      <c r="G73" s="88"/>
      <c r="H73" s="88"/>
      <c r="I73" s="88"/>
      <c r="J73" s="88"/>
      <c r="K73" s="88"/>
      <c r="L73" s="88"/>
    </row>
    <row r="74" spans="2:12" x14ac:dyDescent="0.2">
      <c r="B74" s="88"/>
      <c r="C74" s="88"/>
      <c r="D74" s="88"/>
      <c r="E74" s="88"/>
      <c r="F74" s="88"/>
      <c r="G74" s="88"/>
      <c r="H74" s="88"/>
      <c r="I74" s="88"/>
      <c r="J74" s="88"/>
      <c r="K74" s="88"/>
      <c r="L74" s="88"/>
    </row>
    <row r="75" spans="2:12" x14ac:dyDescent="0.2">
      <c r="B75" s="88"/>
      <c r="C75" s="88"/>
      <c r="D75" s="88"/>
      <c r="E75" s="88"/>
      <c r="F75" s="88"/>
      <c r="G75" s="88"/>
      <c r="H75" s="88"/>
      <c r="I75" s="88"/>
      <c r="J75" s="88"/>
      <c r="K75" s="88"/>
      <c r="L75" s="88"/>
    </row>
    <row r="76" spans="2:12" x14ac:dyDescent="0.2">
      <c r="B76" s="88"/>
      <c r="C76" s="88"/>
      <c r="D76" s="88"/>
      <c r="E76" s="88"/>
      <c r="F76" s="88"/>
      <c r="G76" s="88"/>
      <c r="H76" s="88"/>
      <c r="I76" s="88"/>
      <c r="J76" s="88"/>
      <c r="K76" s="88"/>
      <c r="L76" s="88"/>
    </row>
    <row r="77" spans="2:12" x14ac:dyDescent="0.2">
      <c r="B77" s="88"/>
      <c r="C77" s="88"/>
      <c r="D77" s="88"/>
      <c r="E77" s="88"/>
      <c r="F77" s="88"/>
      <c r="G77" s="88"/>
      <c r="H77" s="88"/>
      <c r="I77" s="88"/>
      <c r="J77" s="88"/>
      <c r="K77" s="88"/>
      <c r="L77" s="88"/>
    </row>
  </sheetData>
  <mergeCells count="26">
    <mergeCell ref="G15:I15"/>
    <mergeCell ref="G16:I16"/>
    <mergeCell ref="G17:I17"/>
    <mergeCell ref="G18:I18"/>
    <mergeCell ref="G19:I19"/>
    <mergeCell ref="G10:I10"/>
    <mergeCell ref="G11:I11"/>
    <mergeCell ref="G12:I12"/>
    <mergeCell ref="G13:I13"/>
    <mergeCell ref="G14:I14"/>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s>
  <pageMargins left="0.7" right="0.7" top="0.75" bottom="0.75" header="0.3" footer="0.3"/>
  <pageSetup scale="79" fitToHeight="0" orientation="landscape" r:id="rId1"/>
  <rowBreaks count="1" manualBreakCount="1">
    <brk id="28" min="1" max="11" man="1"/>
  </rowBreaks>
  <drawing r:id="rId2"/>
  <legacyDrawing r:id="rId3"/>
  <oleObjects>
    <mc:AlternateContent xmlns:mc="http://schemas.openxmlformats.org/markup-compatibility/2006">
      <mc:Choice Requires="x14">
        <oleObject progId="Packager Shell Object" shapeId="6145" r:id="rId4">
          <objectPr defaultSize="0" autoPict="0" r:id="rId5">
            <anchor moveWithCells="1">
              <from>
                <xdr:col>3</xdr:col>
                <xdr:colOff>590550</xdr:colOff>
                <xdr:row>70</xdr:row>
                <xdr:rowOff>85725</xdr:rowOff>
              </from>
              <to>
                <xdr:col>5</xdr:col>
                <xdr:colOff>57150</xdr:colOff>
                <xdr:row>73</xdr:row>
                <xdr:rowOff>104775</xdr:rowOff>
              </to>
            </anchor>
          </objectPr>
        </oleObject>
      </mc:Choice>
      <mc:Fallback>
        <oleObject progId="Packager Shell Object" shapeId="6145"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5" x14ac:dyDescent="0.25"/>
  <cols>
    <col min="1" max="1" width="36.140625" bestFit="1" customWidth="1"/>
  </cols>
  <sheetData>
    <row r="1" spans="1:83" x14ac:dyDescent="0.25">
      <c r="B1" t="s">
        <v>126</v>
      </c>
      <c r="C1" t="s">
        <v>127</v>
      </c>
      <c r="D1" t="s">
        <v>128</v>
      </c>
      <c r="E1" t="s">
        <v>129</v>
      </c>
      <c r="F1" t="s">
        <v>130</v>
      </c>
      <c r="G1" t="s">
        <v>131</v>
      </c>
      <c r="H1" t="s">
        <v>132</v>
      </c>
      <c r="I1" t="s">
        <v>133</v>
      </c>
      <c r="J1" t="s">
        <v>134</v>
      </c>
      <c r="K1" t="s">
        <v>135</v>
      </c>
      <c r="L1" t="s">
        <v>171</v>
      </c>
      <c r="M1" t="s">
        <v>172</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173</v>
      </c>
      <c r="AR1" t="s">
        <v>174</v>
      </c>
      <c r="AS1" t="s">
        <v>90</v>
      </c>
      <c r="AT1" t="s">
        <v>175</v>
      </c>
      <c r="AU1" t="s">
        <v>91</v>
      </c>
      <c r="AV1" t="s">
        <v>92</v>
      </c>
      <c r="AW1" t="s">
        <v>93</v>
      </c>
      <c r="AX1" t="s">
        <v>94</v>
      </c>
      <c r="AY1" t="s">
        <v>95</v>
      </c>
      <c r="AZ1" t="s">
        <v>96</v>
      </c>
      <c r="BA1" t="s">
        <v>97</v>
      </c>
      <c r="BB1" t="s">
        <v>98</v>
      </c>
      <c r="BC1" t="s">
        <v>99</v>
      </c>
      <c r="BD1" t="s">
        <v>100</v>
      </c>
      <c r="BE1" t="s">
        <v>177</v>
      </c>
      <c r="BF1" t="s">
        <v>75</v>
      </c>
      <c r="BG1" t="s">
        <v>176</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x14ac:dyDescent="0.25">
      <c r="A2" t="str">
        <f>REN_Utility_Name</f>
        <v>Snohomish County PUD</v>
      </c>
      <c r="B2" t="e">
        <f>CON_2014_Agriculture_Expend</f>
        <v>#REF!</v>
      </c>
      <c r="C2" t="e">
        <f>CON_2014_Agriculture_MWH</f>
        <v>#REF!</v>
      </c>
      <c r="D2" t="e">
        <f>CON_2014_Commercial_Expend</f>
        <v>#REF!</v>
      </c>
      <c r="E2" t="e">
        <f>CON_2014_Commercial_MWH</f>
        <v>#REF!</v>
      </c>
      <c r="F2" t="e">
        <f>CON_2014_Distribution_Expend</f>
        <v>#REF!</v>
      </c>
      <c r="G2" t="e">
        <f>CON_2014_Distribution_MWH</f>
        <v>#REF!</v>
      </c>
      <c r="H2" t="e">
        <f>CON_2014_Expenditures</f>
        <v>#REF!</v>
      </c>
      <c r="I2" t="e">
        <f>CON_2014_Industrial_Expend</f>
        <v>#REF!</v>
      </c>
      <c r="J2" t="e">
        <f>CON_2014_Industrial_MWH</f>
        <v>#REF!</v>
      </c>
      <c r="K2" t="e">
        <f>CON_2014_MWH</f>
        <v>#REF!</v>
      </c>
      <c r="L2" t="e">
        <f>CON_2014_NEEA_Expend</f>
        <v>#REF!</v>
      </c>
      <c r="M2" t="e">
        <f>CON_2014_NEEA_MWH</f>
        <v>#REF!</v>
      </c>
      <c r="N2" t="e">
        <f>CON_2014_OtherSector1_Expend</f>
        <v>#REF!</v>
      </c>
      <c r="O2" t="e">
        <f>CON_2014_OtherSector1_MWH</f>
        <v>#REF!</v>
      </c>
      <c r="P2" t="e">
        <f>CON_2014_OtherSector2_Expend</f>
        <v>#REF!</v>
      </c>
      <c r="Q2" t="e">
        <f>CON_2014_OtherSector2_MWH</f>
        <v>#REF!</v>
      </c>
      <c r="R2" t="e">
        <f>CON_2014_Production_Expend</f>
        <v>#REF!</v>
      </c>
      <c r="S2" t="e">
        <f>CON_2014_Production_MWH</f>
        <v>#REF!</v>
      </c>
      <c r="T2" t="e">
        <f>CON_2014_Program1_Expend</f>
        <v>#REF!</v>
      </c>
      <c r="U2" t="e">
        <f>CON_2014_Program2_Expend</f>
        <v>#REF!</v>
      </c>
      <c r="V2" t="e">
        <f>CON_2014_Residential_Expend</f>
        <v>#REF!</v>
      </c>
      <c r="W2" t="e">
        <f>CON_2014_Residential_MWH</f>
        <v>#REF!</v>
      </c>
      <c r="X2" t="e">
        <f>CON_Contact_Name</f>
        <v>#REF!</v>
      </c>
      <c r="Y2" t="e">
        <f>CON_Email</f>
        <v>#REF!</v>
      </c>
      <c r="Z2" t="e">
        <f>CON_Phone</f>
        <v>#REF!</v>
      </c>
      <c r="AA2" t="e">
        <f>CON_Potential_2014_2023</f>
        <v>#REF!</v>
      </c>
      <c r="AB2" t="e">
        <f>CON_Report_Date</f>
        <v>#REF!</v>
      </c>
      <c r="AC2" t="e">
        <f>CON_Target_2014_2015</f>
        <v>#REF!</v>
      </c>
      <c r="AD2" t="e">
        <f>CON_Utility_Name</f>
        <v>#REF!</v>
      </c>
      <c r="AE2" t="str">
        <f>REN_Contact_Name</f>
        <v>Anna Berg</v>
      </c>
      <c r="AF2" t="str">
        <f>REN_Email</f>
        <v>AJBerg@snopud.com</v>
      </c>
      <c r="AG2">
        <f>REN_ERR_ApprenticeLabor</f>
        <v>0</v>
      </c>
      <c r="AH2">
        <f>REN_ERR_Biodiesel</f>
        <v>0</v>
      </c>
      <c r="AI2">
        <f>REN_ERR_Biomass</f>
        <v>19488</v>
      </c>
      <c r="AJ2">
        <f>REN_ERR_Geothermal</f>
        <v>0</v>
      </c>
      <c r="AK2">
        <f>REN_ERR_LandfillGas</f>
        <v>0</v>
      </c>
      <c r="AL2">
        <f>REN_ERR_SewageGas</f>
        <v>0</v>
      </c>
      <c r="AM2">
        <f>REN_ERR_Solar</f>
        <v>0</v>
      </c>
      <c r="AN2">
        <f>REN_ERR_Water</f>
        <v>1053</v>
      </c>
      <c r="AO2">
        <f>REN_ERR_Wind</f>
        <v>508081</v>
      </c>
      <c r="AP2">
        <f>REN_ERR_WOT</f>
        <v>0</v>
      </c>
      <c r="AQ2">
        <f>REN_Expenditure_Amount_2015</f>
        <v>35760024.904009134</v>
      </c>
      <c r="AR2">
        <f>REN_Expenditure_Percent_2015</f>
        <v>6.2956460257897959E-2</v>
      </c>
      <c r="AS2">
        <f>REN_Load_2013</f>
        <v>6544708</v>
      </c>
      <c r="AT2">
        <f>REN_Load_2014</f>
        <v>6486109</v>
      </c>
      <c r="AU2">
        <f>REN_REC_ApprenticeLabor</f>
        <v>0</v>
      </c>
      <c r="AV2">
        <f>REN_REC_Biodiesel</f>
        <v>0</v>
      </c>
      <c r="AW2">
        <f>REN_REC_Biomass</f>
        <v>21628</v>
      </c>
      <c r="AX2">
        <f>REN_REC_DistributedGeneration</f>
        <v>44020</v>
      </c>
      <c r="AY2">
        <f>REN_REC_Geothermal</f>
        <v>0</v>
      </c>
      <c r="AZ2">
        <f>REN_REC_LandfillGas</f>
        <v>14</v>
      </c>
      <c r="BA2">
        <f>REN_REC_SewageGas</f>
        <v>0</v>
      </c>
      <c r="BB2">
        <f>REN_REC_Solar</f>
        <v>2904</v>
      </c>
      <c r="BC2">
        <f>REN_REC_Wind</f>
        <v>542659</v>
      </c>
      <c r="BD2">
        <f>REN_REC_WOT</f>
        <v>0</v>
      </c>
      <c r="BE2">
        <f>REN_RetailRevenueRequirement_2015</f>
        <v>568012000</v>
      </c>
      <c r="BF2">
        <f>REN_Submittal_Date</f>
        <v>0</v>
      </c>
      <c r="BG2">
        <f>REN_Total_2015</f>
        <v>1139847</v>
      </c>
      <c r="BH2" t="str">
        <f>REN_Utility_Name</f>
        <v>Snohomish County PUD</v>
      </c>
      <c r="BI2">
        <f>REN_ERR_LandfillGas</f>
        <v>0</v>
      </c>
      <c r="BJ2">
        <f>REN_ERR_SewageGas</f>
        <v>0</v>
      </c>
      <c r="BK2">
        <f>REN_ERR_Solar</f>
        <v>0</v>
      </c>
      <c r="BL2">
        <f>REN_ERR_Water</f>
        <v>1053</v>
      </c>
      <c r="BM2">
        <f>REN_ERR_Wind</f>
        <v>508081</v>
      </c>
      <c r="BN2">
        <f>REN_ERR_WOT</f>
        <v>0</v>
      </c>
      <c r="BO2">
        <f>REN_Expenditure_Amount_2015</f>
        <v>35760024.904009134</v>
      </c>
      <c r="BP2">
        <f>REN_Expenditure_Percent_2015</f>
        <v>6.2956460257897959E-2</v>
      </c>
      <c r="BQ2">
        <f>REN_Load_2013</f>
        <v>6544708</v>
      </c>
      <c r="BR2">
        <f>REN_Load_2014</f>
        <v>6486109</v>
      </c>
      <c r="BS2">
        <f>REN_REC_ApprenticeLabor</f>
        <v>0</v>
      </c>
      <c r="BT2">
        <f>REN_REC_Biodiesel</f>
        <v>0</v>
      </c>
      <c r="BU2">
        <f>REN_REC_Biomass</f>
        <v>21628</v>
      </c>
      <c r="BV2">
        <f>REN_REC_DistributedGeneration</f>
        <v>44020</v>
      </c>
      <c r="BW2">
        <f>REN_REC_Geothermal</f>
        <v>0</v>
      </c>
      <c r="BX2">
        <f>REN_REC_LandfillGas</f>
        <v>14</v>
      </c>
      <c r="BY2">
        <f>REN_REC_SewageGas</f>
        <v>0</v>
      </c>
      <c r="BZ2">
        <f>REN_REC_Solar</f>
        <v>2904</v>
      </c>
      <c r="CA2">
        <f>REN_REC_Wind</f>
        <v>542659</v>
      </c>
      <c r="CB2">
        <f>REN_REC_WOT</f>
        <v>0</v>
      </c>
      <c r="CC2">
        <f>REN_Submittal_Date</f>
        <v>0</v>
      </c>
      <c r="CD2">
        <f>REN_Total_2015</f>
        <v>1139847</v>
      </c>
      <c r="CE2" t="str">
        <f>REN_Utility_Name</f>
        <v>Snohomish County PUD</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59db5950-9a61-4c09-b3e2-fe6d472fba04"/>
    <ds:schemaRef ds:uri="http://schemas.microsoft.com/office/infopath/2007/PartnerControls"/>
    <ds:schemaRef ds:uri="http://www.w3.org/XML/1998/namespace"/>
    <ds:schemaRef ds:uri="http://purl.org/dc/elements/1.1/"/>
    <ds:schemaRef ds:uri="http://purl.org/dc/term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63979cc8-f6b2-4ee6-8bed-630b6048d169"/>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62</vt:i4>
      </vt:variant>
    </vt:vector>
  </HeadingPairs>
  <TitlesOfParts>
    <vt:vector size="68" baseType="lpstr">
      <vt:lpstr>Instructions - 2015</vt:lpstr>
      <vt:lpstr>Instructions - Revise 2013</vt:lpstr>
      <vt:lpstr>Conservation Report</vt:lpstr>
      <vt:lpstr>Renewables Report</vt:lpstr>
      <vt:lpstr>Renewable Cost Report</vt:lpstr>
      <vt:lpstr>Data</vt:lpstr>
      <vt:lpstr>'Conservation Report'!CON_2014_Agriculture_Expend</vt:lpstr>
      <vt:lpstr>'Conservation Report'!CON_2014_Agriculture_MWH</vt:lpstr>
      <vt:lpstr>'Conservation Report'!CON_2014_Commercial_Expend</vt:lpstr>
      <vt:lpstr>'Conservation Report'!CON_2014_Commercial_MWH</vt:lpstr>
      <vt:lpstr>'Conservation Report'!CON_2014_Distribution_Expend</vt:lpstr>
      <vt:lpstr>'Conservation Report'!CON_2014_Distribution_MWH</vt:lpstr>
      <vt:lpstr>'Conservation Report'!CON_2014_Expenditures</vt:lpstr>
      <vt:lpstr>'Conservation Report'!CON_2014_Industrial_Expend</vt:lpstr>
      <vt:lpstr>'Conservation Report'!CON_2014_Industrial_MWH</vt:lpstr>
      <vt:lpstr>'Conservation Report'!CON_2014_MWH</vt:lpstr>
      <vt:lpstr>'Conservation Report'!CON_2014_NEEA_Expend</vt:lpstr>
      <vt:lpstr>'Conservation Report'!CON_2014_NEEA_MWH</vt:lpstr>
      <vt:lpstr>'Conservation Report'!CON_2014_OtherSector1_Expend</vt:lpstr>
      <vt:lpstr>'Conservation Report'!CON_2014_OtherSector1_MWH</vt:lpstr>
      <vt:lpstr>'Conservation Report'!CON_2014_OtherSector2_Expend</vt:lpstr>
      <vt:lpstr>'Conservation Report'!CON_2014_OtherSector2_MWH</vt:lpstr>
      <vt:lpstr>'Conservation Report'!CON_2014_Production_Expend</vt:lpstr>
      <vt:lpstr>'Conservation Report'!CON_2014_Production_MWH</vt:lpstr>
      <vt:lpstr>'Conservation Report'!CON_2014_Program1_Expend</vt:lpstr>
      <vt:lpstr>'Conservation Report'!CON_2014_Program2_Expend</vt:lpstr>
      <vt:lpstr>'Conservation Report'!CON_2014_Residential_Expend</vt:lpstr>
      <vt:lpstr>'Conservation Report'!CON_2014_Residential_MWH</vt:lpstr>
      <vt:lpstr>'Conservation Report'!CON_Contact_Name</vt:lpstr>
      <vt:lpstr>'Conservation Report'!CON_Email</vt:lpstr>
      <vt:lpstr>'Conservation Report'!CON_Phone</vt:lpstr>
      <vt:lpstr>'Conservation Report'!CON_Potential_2014_2023</vt:lpstr>
      <vt:lpstr>'Conservation Report'!CON_Report_Date</vt:lpstr>
      <vt:lpstr>'Conservation Report'!CON_Target_2014_2015</vt:lpstr>
      <vt:lpstr>'Conservation Report'!CON_Utility_Name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Anna Berg</cp:lastModifiedBy>
  <cp:lastPrinted>2015-05-28T17:32:25Z</cp:lastPrinted>
  <dcterms:created xsi:type="dcterms:W3CDTF">2012-03-20T21:01:26Z</dcterms:created>
  <dcterms:modified xsi:type="dcterms:W3CDTF">2015-05-29T21:18:40Z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