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336" yWindow="96" windowWidth="15036" windowHeight="5952" tabRatio="719" activeTab="3"/>
  </bookViews>
  <sheets>
    <sheet name="Instructions - 2015" sheetId="21" r:id="rId1"/>
    <sheet name="Instructions - Revise 2013" sheetId="20" r:id="rId2"/>
    <sheet name="Conservation Report" sheetId="18" r:id="rId3"/>
    <sheet name="Renewables Report" sheetId="16" r:id="rId4"/>
    <sheet name="Renewable Cost Report" sheetId="23" r:id="rId5"/>
    <sheet name="Data" sheetId="19" state="hidden" r:id="rId6"/>
  </sheets>
  <externalReferences>
    <externalReference r:id="rId7"/>
  </externalReferences>
  <definedNames>
    <definedName name="CON_2014_Agriculture_Expend">'Conservation Report'!$E$20</definedName>
    <definedName name="CON_2014_Agriculture_MWH">'Conservation Report'!$D$20</definedName>
    <definedName name="CON_2014_Commercial_Expend">'Conservation Report'!$E$18</definedName>
    <definedName name="CON_2014_Commercial_MWH">'Conservation Report'!$D$18</definedName>
    <definedName name="CON_2014_Distribution_Expend">'Conservation Report'!$E$21</definedName>
    <definedName name="CON_2014_Distribution_MWH">'Conservation Report'!$D$21</definedName>
    <definedName name="CON_2014_Expenditures">'Conservation Report'!$E$29</definedName>
    <definedName name="CON_2014_Industrial_Expend">'Conservation Report'!$E$19</definedName>
    <definedName name="CON_2014_Industrial_MWH">'Conservation Report'!$D$19</definedName>
    <definedName name="CON_2014_MWH">'Conservation Report'!$D$29</definedName>
    <definedName name="CON_2014_NEEA_Expend">'Conservation Report'!$E$23</definedName>
    <definedName name="CON_2014_NEEA_MWH">'Conservation Report'!$D$23</definedName>
    <definedName name="CON_2014_OtherSector1_Expend">'Conservation Report'!$E$24</definedName>
    <definedName name="CON_2014_OtherSector1_MWH">'Conservation Report'!$D$24</definedName>
    <definedName name="CON_2014_OtherSector2_Expend">'Conservation Report'!$E$25</definedName>
    <definedName name="CON_2014_OtherSector2_MWH">'Conservation Report'!$D$25</definedName>
    <definedName name="CON_2014_Production_Expend">'Conservation Report'!$E$22</definedName>
    <definedName name="CON_2014_Production_MWH">'Conservation Report'!$D$22</definedName>
    <definedName name="CON_2014_Program1_Expend">'Conservation Report'!$E$27</definedName>
    <definedName name="CON_2014_Program2_Expend">'Conservation Report'!$E$28</definedName>
    <definedName name="CON_2014_Residential_Expend">'Conservation Report'!$E$17</definedName>
    <definedName name="CON_2014_Residential_MWH">'Conservation Report'!$D$17</definedName>
    <definedName name="CON_Contact_Name">'Conservation Report'!$C$5</definedName>
    <definedName name="CON_Email">'Conservation Report'!$C$7</definedName>
    <definedName name="CON_Phone">'Conservation Report'!$C$6</definedName>
    <definedName name="CON_Potential_2014_2023">'Conservation Report'!$D$12</definedName>
    <definedName name="CON_Report_Date">'Conservation Report'!$C$4</definedName>
    <definedName name="CON_Target_2014_2015">'Conservation Report'!$E$12</definedName>
    <definedName name="CON_Utility_Name" localSheetId="0">'[1]Conservation Report'!$C$3:$E$3</definedName>
    <definedName name="CON_Utility_Name">'Conservation Report'!$C$3</definedName>
    <definedName name="_xlnm.Print_Area" localSheetId="2">'Conservation Report'!$A$1:$J$53</definedName>
    <definedName name="_xlnm.Print_Area" localSheetId="4">'Renewable Cost Report'!$B$1:$L$77</definedName>
    <definedName name="_xlnm.Print_Area" localSheetId="3">'Renewables Report'!$A$1:$O$136</definedName>
    <definedName name="REN_Contact_Name">'Renewables Report'!$C$5</definedName>
    <definedName name="REN_Email">'Renewables Report'!$C$7</definedName>
    <definedName name="REN_ERR_ApprenticeLabor">'Renewables Report'!$L$18</definedName>
    <definedName name="REN_ERR_Biodiesel">'Renewables Report'!$J$18</definedName>
    <definedName name="REN_ERR_Biomass">'Renewables Report'!$K$18</definedName>
    <definedName name="REN_ERR_Geothermal">'Renewables Report'!$F$18</definedName>
    <definedName name="REN_ERR_LandfillGas">'Renewables Report'!$G$18</definedName>
    <definedName name="REN_ERR_SewageGas">'Renewables Report'!$I$18</definedName>
    <definedName name="REN_ERR_Solar">'Renewables Report'!$E$18</definedName>
    <definedName name="REN_ERR_Water">'Renewables Report'!$C$18</definedName>
    <definedName name="REN_ERR_Wind">'Renewables Report'!$D$18</definedName>
    <definedName name="REN_ERR_WOT">'Renewables Report'!$H$18</definedName>
    <definedName name="REN_Expenditure_Amount_2015">'Renewables Report'!$N$11</definedName>
    <definedName name="REN_Expenditure_Percent_2015">'Renewables Report'!$N$13</definedName>
    <definedName name="REN_Load_2013">'Renewables Report'!$N$3</definedName>
    <definedName name="REN_Load_2014">'Renewables Report'!$N$4</definedName>
    <definedName name="REN_REC_ApprenticeLabor">'Renewables Report'!$L$19</definedName>
    <definedName name="REN_REC_Biodiesel">'Renewables Report'!$J$19</definedName>
    <definedName name="REN_REC_Biomass">'Renewables Report'!$K$19</definedName>
    <definedName name="REN_REC_DistributedGeneration">'Renewables Report'!$M$19</definedName>
    <definedName name="REN_REC_Geothermal">'Renewables Report'!$F$19</definedName>
    <definedName name="REN_REC_LandfillGas">'Renewables Report'!$G$19</definedName>
    <definedName name="REN_REC_SewageGas">'Renewables Report'!$I$19</definedName>
    <definedName name="REN_REC_Solar">'Renewables Report'!$E$19</definedName>
    <definedName name="REN_REC_Wind">'Renewables Report'!$D$19</definedName>
    <definedName name="REN_REC_WOT">'Renewables Report'!$H$19</definedName>
    <definedName name="REN_RetailRevenueRequirement_2015">'Renewables Report'!$N$12</definedName>
    <definedName name="REN_Submittal_Date">'Renewables Report'!$C$4</definedName>
    <definedName name="REN_Total_2015">'Renewables Report'!$N$8</definedName>
    <definedName name="REN_Utility_Name">'Renewables Report'!$C$3</definedName>
  </definedNames>
  <calcPr calcId="145621"/>
</workbook>
</file>

<file path=xl/calcChain.xml><?xml version="1.0" encoding="utf-8"?>
<calcChain xmlns="http://schemas.openxmlformats.org/spreadsheetml/2006/main">
  <c r="F60" i="23" l="1"/>
  <c r="E59" i="23"/>
  <c r="G59" i="23" s="1"/>
  <c r="D59" i="23"/>
  <c r="C59" i="23"/>
  <c r="B59" i="23"/>
  <c r="E58" i="23"/>
  <c r="G58" i="23" s="1"/>
  <c r="D58" i="23"/>
  <c r="C58" i="23"/>
  <c r="B58" i="23"/>
  <c r="E57" i="23"/>
  <c r="G57" i="23" s="1"/>
  <c r="D57" i="23"/>
  <c r="C57" i="23"/>
  <c r="B57" i="23"/>
  <c r="E56" i="23"/>
  <c r="G56" i="23" s="1"/>
  <c r="D56" i="23"/>
  <c r="C56" i="23"/>
  <c r="B56" i="23"/>
  <c r="E55" i="23"/>
  <c r="G55" i="23" s="1"/>
  <c r="D55" i="23"/>
  <c r="C55" i="23"/>
  <c r="B55" i="23"/>
  <c r="E54" i="23"/>
  <c r="G54" i="23" s="1"/>
  <c r="D54" i="23"/>
  <c r="C54" i="23"/>
  <c r="B54" i="23"/>
  <c r="E53" i="23"/>
  <c r="G53" i="23" s="1"/>
  <c r="D53" i="23"/>
  <c r="C53" i="23"/>
  <c r="B53" i="23"/>
  <c r="E52" i="23"/>
  <c r="G52" i="23" s="1"/>
  <c r="D52" i="23"/>
  <c r="C52" i="23"/>
  <c r="B52" i="23"/>
  <c r="E51" i="23"/>
  <c r="G51" i="23" s="1"/>
  <c r="D51" i="23"/>
  <c r="C51" i="23"/>
  <c r="B51" i="23"/>
  <c r="E50" i="23"/>
  <c r="G50" i="23" s="1"/>
  <c r="D50" i="23"/>
  <c r="C50" i="23"/>
  <c r="B50" i="23"/>
  <c r="E49" i="23"/>
  <c r="G49" i="23" s="1"/>
  <c r="D49" i="23"/>
  <c r="C49" i="23"/>
  <c r="B49" i="23"/>
  <c r="E48" i="23"/>
  <c r="G48" i="23" s="1"/>
  <c r="D48" i="23"/>
  <c r="C48" i="23"/>
  <c r="B48" i="23"/>
  <c r="E47" i="23"/>
  <c r="G47" i="23" s="1"/>
  <c r="D47" i="23"/>
  <c r="C47" i="23"/>
  <c r="B47" i="23"/>
  <c r="E46" i="23"/>
  <c r="G46" i="23" s="1"/>
  <c r="D46" i="23"/>
  <c r="C46" i="23"/>
  <c r="B46" i="23"/>
  <c r="E45" i="23"/>
  <c r="G45" i="23" s="1"/>
  <c r="D45" i="23"/>
  <c r="C45" i="23"/>
  <c r="B45" i="23"/>
  <c r="E44" i="23"/>
  <c r="G44" i="23" s="1"/>
  <c r="D44" i="23"/>
  <c r="C44" i="23"/>
  <c r="B44" i="23"/>
  <c r="E43" i="23"/>
  <c r="G43" i="23" s="1"/>
  <c r="D43" i="23"/>
  <c r="C43" i="23"/>
  <c r="B43" i="23"/>
  <c r="E42" i="23"/>
  <c r="G42" i="23" s="1"/>
  <c r="D42" i="23"/>
  <c r="C42" i="23"/>
  <c r="B42" i="23"/>
  <c r="E41" i="23"/>
  <c r="G41" i="23" s="1"/>
  <c r="D41" i="23"/>
  <c r="C41" i="23"/>
  <c r="B41" i="23"/>
  <c r="E40" i="23"/>
  <c r="G40" i="23" s="1"/>
  <c r="D40" i="23"/>
  <c r="C40" i="23"/>
  <c r="B40" i="23"/>
  <c r="E39" i="23"/>
  <c r="G39" i="23" s="1"/>
  <c r="D39" i="23"/>
  <c r="C39" i="23"/>
  <c r="B39" i="23"/>
  <c r="E38" i="23"/>
  <c r="G38" i="23" s="1"/>
  <c r="D38" i="23"/>
  <c r="C38" i="23"/>
  <c r="B38" i="23"/>
  <c r="E37" i="23"/>
  <c r="G37" i="23" s="1"/>
  <c r="D37" i="23"/>
  <c r="C37" i="23"/>
  <c r="B37" i="23"/>
  <c r="E36" i="23"/>
  <c r="G36" i="23" s="1"/>
  <c r="D36" i="23"/>
  <c r="C36" i="23"/>
  <c r="B36" i="23"/>
  <c r="E35" i="23"/>
  <c r="G35" i="23" s="1"/>
  <c r="D35" i="23"/>
  <c r="C35" i="23"/>
  <c r="B35" i="23"/>
  <c r="L27" i="23"/>
  <c r="L26" i="23"/>
  <c r="L25" i="23"/>
  <c r="L24" i="23"/>
  <c r="L23" i="23"/>
  <c r="L22" i="23"/>
  <c r="L21" i="23"/>
  <c r="L20" i="23"/>
  <c r="L19" i="23"/>
  <c r="L18" i="23"/>
  <c r="L17" i="23"/>
  <c r="L16" i="23"/>
  <c r="L15" i="23"/>
  <c r="L14" i="23"/>
  <c r="L13" i="23"/>
  <c r="L12" i="23"/>
  <c r="L11" i="23"/>
  <c r="L10" i="23"/>
  <c r="L9" i="23"/>
  <c r="L8" i="23"/>
  <c r="L7" i="23"/>
  <c r="J28" i="23"/>
  <c r="E28" i="23"/>
  <c r="K25" i="23"/>
  <c r="K21" i="23"/>
  <c r="K13" i="23"/>
  <c r="F26" i="23"/>
  <c r="F24" i="23"/>
  <c r="F22" i="23"/>
  <c r="F20" i="23"/>
  <c r="F18" i="23"/>
  <c r="D27" i="23"/>
  <c r="K27" i="23" s="1"/>
  <c r="C27" i="23"/>
  <c r="B27" i="23"/>
  <c r="D26" i="23"/>
  <c r="K26" i="23" s="1"/>
  <c r="C26" i="23"/>
  <c r="B26" i="23"/>
  <c r="D25" i="23"/>
  <c r="F25" i="23" s="1"/>
  <c r="C25" i="23"/>
  <c r="B25" i="23"/>
  <c r="D24" i="23"/>
  <c r="K24" i="23" s="1"/>
  <c r="C24" i="23"/>
  <c r="B24" i="23"/>
  <c r="D23" i="23"/>
  <c r="F23" i="23" s="1"/>
  <c r="C23" i="23"/>
  <c r="B23" i="23"/>
  <c r="D22" i="23"/>
  <c r="K22" i="23" s="1"/>
  <c r="C22" i="23"/>
  <c r="B22" i="23"/>
  <c r="D21" i="23"/>
  <c r="F21" i="23" s="1"/>
  <c r="C21" i="23"/>
  <c r="B21" i="23"/>
  <c r="D20" i="23"/>
  <c r="K20" i="23" s="1"/>
  <c r="C20" i="23"/>
  <c r="B20" i="23"/>
  <c r="D19" i="23"/>
  <c r="F19" i="23" s="1"/>
  <c r="C19" i="23"/>
  <c r="B19" i="23"/>
  <c r="K18" i="23"/>
  <c r="C18" i="23"/>
  <c r="B18" i="23"/>
  <c r="F17" i="23"/>
  <c r="C17" i="23"/>
  <c r="B17" i="23"/>
  <c r="D16" i="23"/>
  <c r="K16" i="23" s="1"/>
  <c r="C16" i="23"/>
  <c r="B16" i="23"/>
  <c r="D15" i="23"/>
  <c r="F15" i="23" s="1"/>
  <c r="C15" i="23"/>
  <c r="B15" i="23"/>
  <c r="D14" i="23"/>
  <c r="K14" i="23" s="1"/>
  <c r="C14" i="23"/>
  <c r="B14" i="23"/>
  <c r="D13" i="23"/>
  <c r="F13" i="23" s="1"/>
  <c r="C13" i="23"/>
  <c r="B13" i="23"/>
  <c r="D12" i="23"/>
  <c r="K12" i="23" s="1"/>
  <c r="C12" i="23"/>
  <c r="B12" i="23"/>
  <c r="D11" i="23"/>
  <c r="K11" i="23" s="1"/>
  <c r="C11" i="23"/>
  <c r="B11" i="23"/>
  <c r="D10" i="23"/>
  <c r="K10" i="23" s="1"/>
  <c r="C10" i="23"/>
  <c r="B10" i="23"/>
  <c r="D9" i="23"/>
  <c r="F9" i="23" s="1"/>
  <c r="C9" i="23"/>
  <c r="B9" i="23"/>
  <c r="D8" i="23"/>
  <c r="K8" i="23" s="1"/>
  <c r="C8" i="23"/>
  <c r="B8" i="23"/>
  <c r="D7" i="23"/>
  <c r="F7" i="23" s="1"/>
  <c r="C7" i="23"/>
  <c r="B7" i="23"/>
  <c r="F3" i="23"/>
  <c r="F30" i="23" s="1"/>
  <c r="L28" i="23" l="1"/>
  <c r="F8" i="23"/>
  <c r="F12" i="23"/>
  <c r="F14" i="23"/>
  <c r="K17" i="23"/>
  <c r="F16" i="23"/>
  <c r="F10" i="23"/>
  <c r="K9" i="23"/>
  <c r="K7" i="23"/>
  <c r="K15" i="23"/>
  <c r="K19" i="23"/>
  <c r="K23" i="23"/>
  <c r="D28" i="23"/>
  <c r="F11" i="23"/>
  <c r="F27" i="23"/>
  <c r="BE2" i="19"/>
  <c r="CE2" i="19" l="1"/>
  <c r="CC2" i="19"/>
  <c r="CB2" i="19"/>
  <c r="BZ2" i="19"/>
  <c r="BY2" i="19"/>
  <c r="BX2" i="19"/>
  <c r="BW2" i="19"/>
  <c r="BV2" i="19"/>
  <c r="BU2" i="19"/>
  <c r="BT2" i="19"/>
  <c r="BS2" i="19"/>
  <c r="BR2" i="19"/>
  <c r="BQ2" i="19"/>
  <c r="BN2" i="19"/>
  <c r="BK2" i="19"/>
  <c r="BJ2" i="19"/>
  <c r="BI2" i="19"/>
  <c r="BH2" i="19"/>
  <c r="BF2" i="19"/>
  <c r="BD2" i="19"/>
  <c r="BB2" i="19"/>
  <c r="BA2" i="19"/>
  <c r="AZ2" i="19"/>
  <c r="AY2" i="19"/>
  <c r="AX2" i="19"/>
  <c r="AW2" i="19"/>
  <c r="AV2" i="19"/>
  <c r="AU2" i="19"/>
  <c r="AT2" i="19"/>
  <c r="AS2" i="19"/>
  <c r="AP2" i="19"/>
  <c r="AM2" i="19"/>
  <c r="AL2" i="19"/>
  <c r="AK2" i="19"/>
  <c r="AJ2" i="19"/>
  <c r="AI2" i="19"/>
  <c r="AH2" i="19"/>
  <c r="AF2" i="19"/>
  <c r="AE2" i="19"/>
  <c r="AD2" i="19"/>
  <c r="AC2" i="19"/>
  <c r="AB2" i="19"/>
  <c r="AA2" i="19"/>
  <c r="Z2" i="19"/>
  <c r="Y2" i="19"/>
  <c r="X2" i="19"/>
  <c r="W2" i="19"/>
  <c r="V2" i="19"/>
  <c r="U2" i="19"/>
  <c r="T2" i="19"/>
  <c r="S2" i="19"/>
  <c r="R2" i="19"/>
  <c r="Q2" i="19"/>
  <c r="P2" i="19"/>
  <c r="O2" i="19"/>
  <c r="N2" i="19"/>
  <c r="M2" i="19"/>
  <c r="L2" i="19"/>
  <c r="J2" i="19"/>
  <c r="I2" i="19"/>
  <c r="G2" i="19"/>
  <c r="F2" i="19"/>
  <c r="E2" i="19"/>
  <c r="D2" i="19"/>
  <c r="C2" i="19"/>
  <c r="B2" i="19"/>
  <c r="N11" i="16" l="1"/>
  <c r="BO2" i="19" l="1"/>
  <c r="AQ2" i="19"/>
  <c r="N5" i="21"/>
  <c r="N7" i="20"/>
  <c r="N5" i="16"/>
  <c r="A2" i="19" l="1"/>
  <c r="N13" i="16" l="1"/>
  <c r="AR2" i="19" l="1"/>
  <c r="BP2" i="19"/>
  <c r="C18" i="16"/>
  <c r="D18" i="16"/>
  <c r="E18" i="16"/>
  <c r="F18" i="16"/>
  <c r="G18" i="16"/>
  <c r="H18" i="16"/>
  <c r="I18" i="16"/>
  <c r="J18" i="16"/>
  <c r="K18" i="16"/>
  <c r="L18" i="16"/>
  <c r="AG2" i="19" s="1"/>
  <c r="BL2" i="19" l="1"/>
  <c r="AN2" i="19"/>
  <c r="BM2" i="19"/>
  <c r="AO2" i="19"/>
  <c r="C31" i="18"/>
  <c r="E29" i="18" l="1"/>
  <c r="H2" i="19" s="1"/>
  <c r="D29" i="18"/>
  <c r="K2" i="19" s="1"/>
  <c r="M19" i="16" l="1"/>
  <c r="M20" i="16" l="1"/>
  <c r="F98" i="16"/>
  <c r="L19" i="16"/>
  <c r="F66" i="16"/>
  <c r="F36" i="16"/>
  <c r="K19" i="16"/>
  <c r="J19" i="16"/>
  <c r="I19" i="16"/>
  <c r="H19" i="16"/>
  <c r="G19" i="16"/>
  <c r="F19" i="16"/>
  <c r="E19" i="16"/>
  <c r="D19" i="16"/>
  <c r="C20" i="16"/>
  <c r="N7" i="16"/>
  <c r="CA2" i="19" l="1"/>
  <c r="BC2" i="19"/>
  <c r="F20" i="16"/>
  <c r="J20" i="16"/>
  <c r="E20" i="16"/>
  <c r="G20" i="16"/>
  <c r="I20" i="16"/>
  <c r="H20" i="16"/>
  <c r="L20" i="16"/>
  <c r="D20" i="16"/>
  <c r="K20" i="16"/>
  <c r="N8" i="16" l="1"/>
  <c r="CD2" i="19" l="1"/>
  <c r="BG2" i="19"/>
</calcChain>
</file>

<file path=xl/sharedStrings.xml><?xml version="1.0" encoding="utf-8"?>
<sst xmlns="http://schemas.openxmlformats.org/spreadsheetml/2006/main" count="360" uniqueCount="246">
  <si>
    <t>Utility Contact Name/Dept</t>
  </si>
  <si>
    <t>Phone</t>
  </si>
  <si>
    <t>Email</t>
  </si>
  <si>
    <t>Achievement</t>
  </si>
  <si>
    <t>Utility</t>
  </si>
  <si>
    <t xml:space="preserve"> NEEA</t>
  </si>
  <si>
    <t>Total</t>
  </si>
  <si>
    <t>MWh</t>
  </si>
  <si>
    <t>Utility Expenditures ($)</t>
  </si>
  <si>
    <t xml:space="preserve"> Residential </t>
  </si>
  <si>
    <t xml:space="preserve"> Commercial</t>
  </si>
  <si>
    <t xml:space="preserve"> Industrial</t>
  </si>
  <si>
    <t xml:space="preserve"> Agriculture</t>
  </si>
  <si>
    <t>Compliance Year</t>
  </si>
  <si>
    <t>(a)</t>
  </si>
  <si>
    <t>     (b)</t>
  </si>
  <si>
    <t>(c)</t>
  </si>
  <si>
    <t>     (d)</t>
  </si>
  <si>
    <t>     (e)</t>
  </si>
  <si>
    <t>     (f)</t>
  </si>
  <si>
    <t>     (g)</t>
  </si>
  <si>
    <t>(h)</t>
  </si>
  <si>
    <t>     (i)</t>
  </si>
  <si>
    <t>Water</t>
  </si>
  <si>
    <t>Wind</t>
  </si>
  <si>
    <t>Solar Energy</t>
  </si>
  <si>
    <t>Geothermal Energy</t>
  </si>
  <si>
    <t>Landfill Gas</t>
  </si>
  <si>
    <t>Gas from Sewage Treatment</t>
  </si>
  <si>
    <t xml:space="preserve"> Biodiesel</t>
  </si>
  <si>
    <t>Biomass Energy</t>
  </si>
  <si>
    <t>Distributed Generation</t>
  </si>
  <si>
    <t>Renewable Energy Credits</t>
  </si>
  <si>
    <t xml:space="preserve">Water </t>
  </si>
  <si>
    <t>Apprentice Labor</t>
  </si>
  <si>
    <t>Facility Name</t>
  </si>
  <si>
    <t>Conservation Notes:</t>
  </si>
  <si>
    <t xml:space="preserve"> Distribution Efficiency</t>
  </si>
  <si>
    <t xml:space="preserve"> Production Efficiency</t>
  </si>
  <si>
    <t>Renewable Resources</t>
  </si>
  <si>
    <t xml:space="preserve">Wave, Ocean, Tidal </t>
  </si>
  <si>
    <t>Wave, Ocean, Tidal</t>
  </si>
  <si>
    <t>Conservation by Sector</t>
  </si>
  <si>
    <t>Eligible Renewable Resources (MWh)</t>
  </si>
  <si>
    <t>Renewable Energy Credits (MWh)</t>
  </si>
  <si>
    <t>Total Renewables (MWh)</t>
  </si>
  <si>
    <t>Loads and Resources</t>
  </si>
  <si>
    <t>Target Year</t>
  </si>
  <si>
    <t>Select</t>
  </si>
  <si>
    <t xml:space="preserve">19.285.040 (2)(b) Renewables Target </t>
  </si>
  <si>
    <t>19.285.040 (2)(d) No Load Growth</t>
  </si>
  <si>
    <t xml:space="preserve">19.285.050 Incremental Resource Cost  </t>
  </si>
  <si>
    <t>Eligible Renewables Acquisitions / Investments (MWh)</t>
  </si>
  <si>
    <t>2013 Annual Load (MWh)</t>
  </si>
  <si>
    <t>WREGIS ID</t>
  </si>
  <si>
    <t>REC Year</t>
  </si>
  <si>
    <t>MWh equiv.</t>
  </si>
  <si>
    <r>
      <t xml:space="preserve"> </t>
    </r>
    <r>
      <rPr>
        <b/>
        <sz val="10"/>
        <color theme="1"/>
        <rFont val="Arial"/>
        <family val="2"/>
      </rPr>
      <t>Planning</t>
    </r>
  </si>
  <si>
    <r>
      <t xml:space="preserve">Conservation expenditures </t>
    </r>
    <r>
      <rPr>
        <i/>
        <sz val="10"/>
        <color theme="1"/>
        <rFont val="Arial"/>
        <family val="2"/>
      </rPr>
      <t xml:space="preserve">NOT </t>
    </r>
    <r>
      <rPr>
        <sz val="10"/>
        <color theme="1"/>
        <rFont val="Arial"/>
        <family val="2"/>
      </rPr>
      <t>included in sector expenditures</t>
    </r>
  </si>
  <si>
    <t>2014 - 2015 Planning</t>
  </si>
  <si>
    <t>2014 - 2015 Target (MWh)</t>
  </si>
  <si>
    <t>2014-2023 Ten Year Potential (MWh)</t>
  </si>
  <si>
    <t>Documentation of the calculation and inputs for percentage of revenue requirement invested in renewables:</t>
  </si>
  <si>
    <t>Other notes and explanations:</t>
  </si>
  <si>
    <t>Contact Name/Dept</t>
  </si>
  <si>
    <t>Report Date</t>
  </si>
  <si>
    <t>     (j)</t>
  </si>
  <si>
    <t>     (k)</t>
  </si>
  <si>
    <t>CON_Contact_Name</t>
  </si>
  <si>
    <t>CON_Email</t>
  </si>
  <si>
    <t>CON_Phone</t>
  </si>
  <si>
    <t>CON_Report_Date</t>
  </si>
  <si>
    <t>CON_Utility_Name</t>
  </si>
  <si>
    <t>REN_Contact_Name</t>
  </si>
  <si>
    <t>REN_Email</t>
  </si>
  <si>
    <t>REN_Submittal_Date</t>
  </si>
  <si>
    <t>REN_Utility_Name</t>
  </si>
  <si>
    <t>CON_Potential_2014_2023</t>
  </si>
  <si>
    <t>CON_Target_2014_2015</t>
  </si>
  <si>
    <t>REN_ERR_ApprenticeLabor</t>
  </si>
  <si>
    <t>REN_ERR_Biodiesel</t>
  </si>
  <si>
    <t>REN_ERR_Biomass</t>
  </si>
  <si>
    <t>REN_ERR_Geothermal</t>
  </si>
  <si>
    <t>REN_ERR_LandfillGas</t>
  </si>
  <si>
    <t>REN_ERR_SewageGas</t>
  </si>
  <si>
    <t>REN_ERR_Solar</t>
  </si>
  <si>
    <t>REN_ERR_Water</t>
  </si>
  <si>
    <t>REN_ERR_Wind</t>
  </si>
  <si>
    <t>REN_ERR_WOT</t>
  </si>
  <si>
    <t>REN_Load_2012</t>
  </si>
  <si>
    <t>REN_Load_2013</t>
  </si>
  <si>
    <t>REN_REC_ApprenticeLabor</t>
  </si>
  <si>
    <t>REN_REC_Biodiesel</t>
  </si>
  <si>
    <t>REN_REC_Biomass</t>
  </si>
  <si>
    <t>REN_REC_DistributedGeneration</t>
  </si>
  <si>
    <t>REN_REC_Geothermal</t>
  </si>
  <si>
    <t>REN_REC_LandfillGas</t>
  </si>
  <si>
    <t>REN_REC_SewageGas</t>
  </si>
  <si>
    <t>REN_REC_Solar</t>
  </si>
  <si>
    <t>REN_REC_Wind</t>
  </si>
  <si>
    <t>REN_REC_WOT</t>
  </si>
  <si>
    <t>Amount invested in incremental cost of eligible renewable resources and the cost of RECs</t>
  </si>
  <si>
    <t>Investment in renewables and RECs as a percent of retail revenue requirement</t>
  </si>
  <si>
    <t>REN_Expenditure_Amount_2014</t>
  </si>
  <si>
    <t>REN_Expenditure_Percent_2014</t>
  </si>
  <si>
    <r>
      <rPr>
        <b/>
        <i/>
        <sz val="10"/>
        <color indexed="60"/>
        <rFont val="Arial"/>
        <family val="2"/>
      </rPr>
      <t xml:space="preserve">Note: </t>
    </r>
    <r>
      <rPr>
        <i/>
        <sz val="10"/>
        <color indexed="60"/>
        <rFont val="Arial"/>
        <family val="2"/>
      </rPr>
      <t>Investor Owned Utilities may complete this page or attach their Utilities and Transportation Commission Renewable and Conservation filings for 2014.</t>
    </r>
  </si>
  <si>
    <t>REN_Total_2014</t>
  </si>
  <si>
    <r>
      <t xml:space="preserve">Energy Independence Act (I-937) </t>
    </r>
    <r>
      <rPr>
        <sz val="11"/>
        <color rgb="FF000000"/>
        <rFont val="Arial Black"/>
        <family val="2"/>
      </rPr>
      <t>Report Workbook Instructions</t>
    </r>
  </si>
  <si>
    <r>
      <t>Questions:</t>
    </r>
    <r>
      <rPr>
        <sz val="11"/>
        <color rgb="FF000000"/>
        <rFont val="Arial"/>
        <family val="2"/>
      </rPr>
      <t xml:space="preserve"> Glenn Blackmon, State Energy Office, (360) 725-3115</t>
    </r>
  </si>
  <si>
    <r>
      <t>Attachments:</t>
    </r>
    <r>
      <rPr>
        <sz val="11"/>
        <color rgb="FF000000"/>
        <rFont val="Arial"/>
        <family val="2"/>
      </rPr>
      <t xml:space="preserve"> If you provide supporting documentation, Commerce will post that material along with your Excel Workbook. Please provide a reference to any attachments in the Excel workbook.</t>
    </r>
  </si>
  <si>
    <t>CONSERVATION WORKSHEET</t>
  </si>
  <si>
    <r>
      <t>Planning:</t>
    </r>
    <r>
      <rPr>
        <sz val="11"/>
        <color rgb="FF000000"/>
        <rFont val="Arial"/>
        <family val="2"/>
      </rPr>
      <t xml:space="preserve"> </t>
    </r>
  </si>
  <si>
    <t>Blank rows have been provided under sector-specific achievement and expenditures. If a utility summarizes data differently, or includes additional sector categories, it must add a sector name and enter the values. This may apply to investor-owned utilities that divide sectors differently. This may also be necessary to account for third-party programs, federal and state efficiency standards, or codes.</t>
  </si>
  <si>
    <t>RENEWABLE ENERGY WORKSHEET</t>
  </si>
  <si>
    <t>This worksheet covers the renewable energy reporting requirements that apply to all qualifying utilities, regardless of its method of compliance. A utility electing to comply using the “no load growth” approach or the “cost cap” approach must submit additional documentation.</t>
  </si>
  <si>
    <r>
      <t xml:space="preserve">Worksheet Organization: </t>
    </r>
    <r>
      <rPr>
        <sz val="11"/>
        <color rgb="FF000000"/>
        <rFont val="Arial"/>
        <family val="2"/>
      </rPr>
      <t>The first page of the renewables worksheet includes targets and summarizes detailed reporting from pages 2 and 3. Page 2 provides facility level reporting for renewable resources. Page 3 provides facility level reporting for renewable energy credits. Page 4 provides a text box where the utility may include explanatory statements, references or web links to supporting information.</t>
    </r>
  </si>
  <si>
    <t>Additional reporting for compliance option 19.285.040(2)(d), “no load growth”</t>
  </si>
  <si>
    <t>Additional reporting for compliance option RCW 19.285.050, “cost cap”</t>
  </si>
  <si>
    <r>
      <t>[Page 4] Notes:</t>
    </r>
    <r>
      <rPr>
        <sz val="11"/>
        <color rgb="FF000000"/>
        <rFont val="Arial"/>
        <family val="2"/>
      </rPr>
      <t xml:space="preserve"> Provide any additional information needed to support your renewables data.</t>
    </r>
  </si>
  <si>
    <t>Revised 3/31/2015</t>
  </si>
  <si>
    <r>
      <t>Deadline:</t>
    </r>
    <r>
      <rPr>
        <sz val="11"/>
        <color rgb="FF000000"/>
        <rFont val="Arial"/>
        <family val="2"/>
      </rPr>
      <t xml:space="preserve"> Monday, June 1, 2015</t>
    </r>
  </si>
  <si>
    <t xml:space="preserve">Please use the 2013 template and mark it as "revised." Contact Commerce to obtain a copy of the 2013 reporting template if necessary. </t>
  </si>
  <si>
    <r>
      <rPr>
        <b/>
        <sz val="11"/>
        <color theme="1"/>
        <rFont val="Arial"/>
        <family val="2"/>
      </rPr>
      <t>WAC 194-37-110(4): Final compliance report.</t>
    </r>
    <r>
      <rPr>
        <sz val="11"/>
        <color theme="1"/>
        <rFont val="Arial"/>
        <family val="2"/>
      </rPr>
      <t xml:space="preserve"> A utility must submit a final renewable compliance report by the later of (a) two years after the filing of the report required in subsections (1) through (3) of this section; or (b) ninety days after the issuance of the auditor's report for the target year. The final renewable compliance report must provide an update of any revisions to the information previously reported pursuant to this section or, if no revisions were made, notify the department that the initial report should be considered the final report. (Effective April 6, 2015)</t>
    </r>
  </si>
  <si>
    <r>
      <t xml:space="preserve">Mid-Term Reporting Context: </t>
    </r>
    <r>
      <rPr>
        <sz val="11"/>
        <color rgb="FF000000"/>
        <rFont val="Arial"/>
        <family val="2"/>
      </rPr>
      <t>This report summarizes 2014 conservation achievement halfway through the 2014-15 biennium. In the “Achievement” section include only values that have been documented to date. Do not include anticipated achievements. If you would like to discuss pending achievements, do so in the “conservation notes” section of this worksheet.</t>
    </r>
  </si>
  <si>
    <t>2014 Achievement</t>
  </si>
  <si>
    <r>
      <rPr>
        <sz val="12"/>
        <color theme="1"/>
        <rFont val="Arial"/>
        <family val="2"/>
      </rPr>
      <t xml:space="preserve">Energy Independence Act (I-937) </t>
    </r>
    <r>
      <rPr>
        <sz val="12"/>
        <color theme="1"/>
        <rFont val="Arial Black"/>
        <family val="2"/>
      </rPr>
      <t>Conservation Report 2015</t>
    </r>
  </si>
  <si>
    <t>CON_2014_Agriculture_Expend</t>
  </si>
  <si>
    <t>CON_2014_Agriculture_MWH</t>
  </si>
  <si>
    <t>CON_2014_Commercial_Expend</t>
  </si>
  <si>
    <t>CON_2014_Commercial_MWH</t>
  </si>
  <si>
    <t>CON_2014_Distribution_Expend</t>
  </si>
  <si>
    <t>CON_2014_Distribution_MWH</t>
  </si>
  <si>
    <t>CON_2014_Expenditures</t>
  </si>
  <si>
    <t>CON_2014_Industrial_Expend</t>
  </si>
  <si>
    <t>CON_2014_Industrial_MWH</t>
  </si>
  <si>
    <t>CON_2014_MWH</t>
  </si>
  <si>
    <t>CON_2014_OtherSector1_Expend</t>
  </si>
  <si>
    <t>CON_2014_OtherSector1_MWH</t>
  </si>
  <si>
    <t>CON_2014_OtherSector2_Expend</t>
  </si>
  <si>
    <t>CON_2014_OtherSector2_MWH</t>
  </si>
  <si>
    <t>CON_2014_Production_Expend</t>
  </si>
  <si>
    <t>CON_2014_Production_MWH</t>
  </si>
  <si>
    <t>CON_2014_Program1_Expend</t>
  </si>
  <si>
    <t>CON_2014_Program2_Expend</t>
  </si>
  <si>
    <t>CON_2014_Residential_Expend</t>
  </si>
  <si>
    <t>CON_2014_Residential_MWH</t>
  </si>
  <si>
    <t>Description of Substitute Resource</t>
  </si>
  <si>
    <t>Renewable Resource Annual Cost in 2015</t>
  </si>
  <si>
    <t>Substitute Resource Annual Cost in 2015</t>
  </si>
  <si>
    <t>Renewable Resource Cost per MWH</t>
  </si>
  <si>
    <t>Substitute Resource Cost per MWH</t>
  </si>
  <si>
    <t>Incremental Cost of Renewable Resource in 2015</t>
  </si>
  <si>
    <t>Totals</t>
  </si>
  <si>
    <t>2014 Annual Load (MWh)</t>
  </si>
  <si>
    <t>Average of 2013 &amp; 2014 Annual Loads (MWh)</t>
  </si>
  <si>
    <t>2015 Renewable Target (% of load)</t>
  </si>
  <si>
    <r>
      <rPr>
        <sz val="12"/>
        <color indexed="8"/>
        <rFont val="Arial"/>
        <family val="2"/>
      </rPr>
      <t>Energy Independence Act (EIA)</t>
    </r>
    <r>
      <rPr>
        <b/>
        <sz val="12"/>
        <color indexed="8"/>
        <rFont val="Arial"/>
        <family val="2"/>
      </rPr>
      <t xml:space="preserve"> </t>
    </r>
    <r>
      <rPr>
        <sz val="12"/>
        <color indexed="8"/>
        <rFont val="Arial Black"/>
        <family val="2"/>
      </rPr>
      <t>Renewable Energy Report 2015</t>
    </r>
  </si>
  <si>
    <r>
      <t>·</t>
    </r>
    <r>
      <rPr>
        <sz val="7"/>
        <color rgb="FF000000"/>
        <rFont val="Times New Roman"/>
        <family val="1"/>
      </rPr>
      <t xml:space="preserve">         </t>
    </r>
    <r>
      <rPr>
        <sz val="11"/>
        <color rgb="FF000000"/>
        <rFont val="Arial"/>
        <family val="2"/>
      </rPr>
      <t xml:space="preserve">For the period starting January 2014, report the utility’s 10-year potential and two-year target. </t>
    </r>
    <r>
      <rPr>
        <i/>
        <sz val="11"/>
        <color rgb="FF000000"/>
        <rFont val="Arial"/>
        <family val="2"/>
      </rPr>
      <t>If the 2014-2015 target is different from the value in the utility’s June 1, 2014, report, please provide an explanation of the difference in the Conservation Notes section.</t>
    </r>
    <r>
      <rPr>
        <sz val="11"/>
        <color rgb="FF000000"/>
        <rFont val="Arial"/>
        <family val="2"/>
      </rPr>
      <t xml:space="preserve">  </t>
    </r>
  </si>
  <si>
    <r>
      <t>Achievement:</t>
    </r>
    <r>
      <rPr>
        <sz val="11"/>
        <color rgb="FF000000"/>
        <rFont val="Arial"/>
        <family val="2"/>
      </rPr>
      <t xml:space="preserve"> Report the total electricity savings and expenditures for conservation by the following sectors: Residential, commercial, industrial, agricultural, distribution system, and production system. A utility may report results achieved through nonutility programs, as identified in WAC 194-37-080(5), by program, if the results are not included in the reported results by customer sector.</t>
    </r>
  </si>
  <si>
    <t>Renewable Expenditures</t>
  </si>
  <si>
    <r>
      <rPr>
        <b/>
        <sz val="11"/>
        <color rgb="FF000000"/>
        <rFont val="Arial"/>
        <family val="2"/>
      </rPr>
      <t>Renewable Cost Report</t>
    </r>
    <r>
      <rPr>
        <sz val="11"/>
        <color rgb="FF000000"/>
        <rFont val="Arial"/>
        <family val="2"/>
      </rPr>
      <t xml:space="preserve"> is used to document and report renewable expenditures. For each renewable resource, report the total cost in 2015 of energy used for EIA compliance, the substitute resource associated with the renewable resource, and the total cost in 2015 that the utility would have incurred for the substitute resource.</t>
    </r>
  </si>
  <si>
    <t xml:space="preserve">Utilities must report the percentage of retail revenue requirement invested in the incremental cost of eligible renewable resources and the cost of renewable energy credits. </t>
  </si>
  <si>
    <r>
      <t>[Page 3] Renewable Energy Credits:</t>
    </r>
    <r>
      <rPr>
        <sz val="11"/>
        <color rgb="FF000000"/>
        <rFont val="Arial"/>
        <family val="2"/>
      </rPr>
      <t xml:space="preserve"> This table provides reporting of renewable energy credits (one REC represents one MWh) by facility and renewable energy type. It includes facility level entries for Apprentice Labor and Distributed Generation credits. Report the facility name, the WREGIS generating unit identification number (GUID) and the vintage of the renewable energy credits (RECs). For facilities where RECs from two different years from the same facility are used, enter each vintage on a separate row.</t>
    </r>
  </si>
  <si>
    <t>Utilities electing to comply using the no-load growth method should attach a separate report with the data elements specified in WAC 194-37-110(5). Investor owned utilities should provide a summary of documentation required by the Utilities and Transportation Commission.</t>
  </si>
  <si>
    <t>Utilities electing to comply using the cost cap method should attach a separate report with the data elements specified in WAC 194-37-110(4). Investor owned utilities should provide a summary of documentation required by the Utilities and Transportation Commission.</t>
  </si>
  <si>
    <t>Notes and explanations for reporting incremental costs and cost of RECs:</t>
  </si>
  <si>
    <r>
      <rPr>
        <sz val="12"/>
        <color indexed="8"/>
        <rFont val="Arial"/>
        <family val="2"/>
      </rPr>
      <t>Energy Independence Act (EIA)</t>
    </r>
    <r>
      <rPr>
        <b/>
        <sz val="12"/>
        <color indexed="8"/>
        <rFont val="Arial"/>
        <family val="2"/>
      </rPr>
      <t xml:space="preserve"> </t>
    </r>
    <r>
      <rPr>
        <sz val="12"/>
        <color indexed="8"/>
        <rFont val="Arial Black"/>
        <family val="2"/>
      </rPr>
      <t>Incremental Cost and REC Cost Report 2015</t>
    </r>
  </si>
  <si>
    <t>Incremental Cost of Renewable Resources</t>
  </si>
  <si>
    <t xml:space="preserve">Cost of Renewable Energy Credits </t>
  </si>
  <si>
    <t>2015 Eligible Renewable Energy Target (MWh)</t>
  </si>
  <si>
    <t>Total annual retail revenue requirement - 2015</t>
  </si>
  <si>
    <t>CON_2014_NEEA_Expend</t>
  </si>
  <si>
    <t>CON_2014_NEEA_MWH</t>
  </si>
  <si>
    <t>REN_Expenditure_Amount_2015</t>
  </si>
  <si>
    <t>REN_Expenditure_Percent_2015</t>
  </si>
  <si>
    <t>REN_Load_2014</t>
  </si>
  <si>
    <t>REN_Total_2015</t>
  </si>
  <si>
    <t>REN_RetailRevenueRequirement_2015</t>
  </si>
  <si>
    <t>The Energy Independence Act (EIA) “RCW 19.285.070, Reporting and public disclosure” requires each qualifying utility to submit an annual report describing compliance with the law. This template implements the public reporting requirement. Additional documentation may be necessary to demonstrate full compliance with EIA. The EIA reports will be made available to the public via Commerce’s website, http://www.commerce.wa.gov/eia.</t>
  </si>
  <si>
    <r>
      <t xml:space="preserve">Excel Report Workbook: </t>
    </r>
    <r>
      <rPr>
        <sz val="11"/>
        <color rgb="FF000000"/>
        <rFont val="Arial"/>
        <family val="2"/>
      </rPr>
      <t>Contains one worksheet for Conservation, one worksheet for Renewables, and one worksheet for Renewable Cost.</t>
    </r>
  </si>
  <si>
    <t>Green-shaded cells are for data input.</t>
  </si>
  <si>
    <t>Blue-shaded cells are calculated amounts and formulas. No data entry required in blue cells.</t>
  </si>
  <si>
    <r>
      <t>The workbook requests numeric summaries as well as narratives and supporting notes. Commerce relies on the utilities to provide enough detail in the written section to ensure members of the public understand the data provided. S</t>
    </r>
    <r>
      <rPr>
        <b/>
        <sz val="11"/>
        <color rgb="FF000000"/>
        <rFont val="Arial"/>
        <family val="2"/>
      </rPr>
      <t>ubmit this Workbook in Excel format (i.e., do not submit in PDF format).</t>
    </r>
  </si>
  <si>
    <r>
      <t>Conservation Expenditures NOT included in Sector Expenditures:</t>
    </r>
    <r>
      <rPr>
        <sz val="11"/>
        <color rgb="FF000000"/>
        <rFont val="Arial"/>
        <family val="2"/>
      </rPr>
      <t xml:space="preserve"> Some utilities do not assign expenditures on staff, overhead, information services or other conservation- related expenses to specific sectors. If that is the case, provide additional cost-related information in this section of the worksheet. Do not include energy savings estimates in this section.</t>
    </r>
  </si>
  <si>
    <r>
      <t xml:space="preserve">Conservation Notes: </t>
    </r>
    <r>
      <rPr>
        <sz val="11"/>
        <color rgb="FF000000"/>
        <rFont val="Arial"/>
        <family val="2"/>
      </rPr>
      <t xml:space="preserve"> This is a place for any additional explanatory statements, web links or references the utility would like to include.</t>
    </r>
  </si>
  <si>
    <r>
      <t>Reporting Context:</t>
    </r>
    <r>
      <rPr>
        <sz val="11"/>
        <color rgb="FF000000"/>
        <rFont val="Arial"/>
        <family val="2"/>
      </rPr>
      <t xml:space="preserve"> The June 1, 2015, renewable energy report summarizes the eligible renewables resource and renewable energy credits that the utility has acquired and or has under contract by January 1, 2015. This describes the renewables acquisitions and investments made prior to the beginning of the target year to meet the requirements of the EIA. </t>
    </r>
  </si>
  <si>
    <r>
      <t>Compliance Method:</t>
    </r>
    <r>
      <rPr>
        <sz val="11"/>
        <color rgb="FF000000"/>
        <rFont val="Arial"/>
        <family val="2"/>
      </rPr>
      <t xml:space="preserve"> Select one of the three compliance methods that the utility intends to use. The EIA provides three compliance methods. A utility must make that determination by January 1, 2015 and must include information establishing its compliance method in this report.</t>
    </r>
  </si>
  <si>
    <r>
      <t xml:space="preserve">Note for Investor Owned Utilities (IOUs): </t>
    </r>
    <r>
      <rPr>
        <sz val="11"/>
        <color rgb="FF993300"/>
        <rFont val="Arial"/>
        <family val="2"/>
      </rPr>
      <t>Details on page 2 and 3 are designed to meet reporting requirements for consumer-owned utilities. The Utilities and Transportation Commission and IOUs have developed their own report form that details renewable energy achievements. Commerce requests that IOUs complete page 1 of the renewable worksheet, including rows 21 and 22. When completed, Commerce will attach the reports provided under 480-109-120 WAC to complete the details.</t>
    </r>
  </si>
  <si>
    <r>
      <t xml:space="preserve">[Page 2] Renewable Resources: </t>
    </r>
    <r>
      <rPr>
        <sz val="11"/>
        <color rgb="FF000000"/>
        <rFont val="Arial"/>
        <family val="2"/>
      </rPr>
      <t>This table provides reporting of renewable resource generation (MWh) by facility and renewable energy type. It includes facility level entries for additional credits for Apprentice Labor, where applicable. For each facility, enter the renewable energy generation in the appropriate column by type. If generation is eligible for Apprentice Labor credits enter the amount in the appropriate column. For example, a wind facility meeting the apprentice labor requirements will report wind generation in column (b) and apprentice labor MWh equivalents in column (k).</t>
    </r>
  </si>
  <si>
    <r>
      <t>Submission:</t>
    </r>
    <r>
      <rPr>
        <sz val="11"/>
        <color rgb="FF000000"/>
        <rFont val="Arial"/>
        <family val="2"/>
      </rPr>
      <t xml:space="preserve"> Email this workbook and all supporting documentation to </t>
    </r>
    <r>
      <rPr>
        <b/>
        <sz val="11"/>
        <color rgb="FF993300"/>
        <rFont val="Arial"/>
        <family val="2"/>
      </rPr>
      <t xml:space="preserve">EIA@commerce.wa.gov </t>
    </r>
  </si>
  <si>
    <t>RENEWABLE ENERGY WORKSHEET – REVISIONS TO 2013 REPORT</t>
  </si>
  <si>
    <r>
      <t xml:space="preserve">In addition to submitting the 2015 report, each qualifying utility should review the renewable energy report it submitted in 2013. In many cases, the specific resources and quantities actually used to comply with the 2013 target differ from what the utility reported in June 2013. </t>
    </r>
    <r>
      <rPr>
        <u/>
        <sz val="11"/>
        <color theme="1"/>
        <rFont val="Arial"/>
        <family val="2"/>
      </rPr>
      <t>Utilities should submit a revised 2013 report if the actual values differ from the values reported in 2013.</t>
    </r>
    <r>
      <rPr>
        <sz val="11"/>
        <color theme="1"/>
        <rFont val="Arial"/>
        <family val="2"/>
      </rPr>
      <t xml:space="preserve"> </t>
    </r>
  </si>
  <si>
    <t>Expenditures on Renewable Resources and RECs - 2015</t>
  </si>
  <si>
    <t>2015 Compliance Method:</t>
  </si>
  <si>
    <t>Number of RECs</t>
  </si>
  <si>
    <t>Annual Cost of Renewable Energy Credits</t>
  </si>
  <si>
    <t>Cost per REC</t>
  </si>
  <si>
    <t>Tacoma Public Utilities</t>
  </si>
  <si>
    <t>Jeff Stafford</t>
  </si>
  <si>
    <t>253-502-8940</t>
  </si>
  <si>
    <t>jstafford@cityoftacoma.org</t>
  </si>
  <si>
    <t xml:space="preserve">                        -   </t>
  </si>
  <si>
    <t>O&amp;M</t>
  </si>
  <si>
    <t>Tacoma Power</t>
  </si>
  <si>
    <t>Bill Dickens</t>
  </si>
  <si>
    <t>253.502.8553</t>
  </si>
  <si>
    <t>bdickens@cityoftacoma.org</t>
  </si>
  <si>
    <t>Mossyrock Rebuild</t>
  </si>
  <si>
    <t>Improved Turbine Efficiency</t>
  </si>
  <si>
    <t>Reduced Wicket Gate Leakage</t>
  </si>
  <si>
    <t>Improved Transformer Efficiency</t>
  </si>
  <si>
    <t>Cushman No. 2</t>
  </si>
  <si>
    <t xml:space="preserve">              Reduced Butterfly Leakage</t>
  </si>
  <si>
    <t xml:space="preserve">                   Cushman NorthFork</t>
  </si>
  <si>
    <t xml:space="preserve">                                      Unit 34</t>
  </si>
  <si>
    <t xml:space="preserve">                                      Unit 35</t>
  </si>
  <si>
    <t xml:space="preserve">                       Lagrande Unit No. 6</t>
  </si>
  <si>
    <t xml:space="preserve">    Wanupum Development (GPUD)</t>
  </si>
  <si>
    <t xml:space="preserve">          Juvenile Fish By-Pass System</t>
  </si>
  <si>
    <t>Carryover from 2014</t>
  </si>
  <si>
    <t>Various</t>
  </si>
  <si>
    <t xml:space="preserve">    BPA Tier I REC Contract</t>
  </si>
  <si>
    <t>Klondike I</t>
  </si>
  <si>
    <t>W238</t>
  </si>
  <si>
    <t>Klondike III</t>
  </si>
  <si>
    <t>W237</t>
  </si>
  <si>
    <t>Stateline 248</t>
  </si>
  <si>
    <t>W248</t>
  </si>
  <si>
    <t xml:space="preserve">                                     Condon I</t>
  </si>
  <si>
    <t>W774</t>
  </si>
  <si>
    <t xml:space="preserve">                                      Condon II</t>
  </si>
  <si>
    <t>W833</t>
  </si>
  <si>
    <t xml:space="preserve">     Iberdrola REC Contract</t>
  </si>
  <si>
    <t xml:space="preserve">                               Bennett Creek</t>
  </si>
  <si>
    <t>W542</t>
  </si>
  <si>
    <t xml:space="preserve">                               Hot Springs</t>
  </si>
  <si>
    <t>W543</t>
  </si>
  <si>
    <t xml:space="preserve">                                          IWP</t>
  </si>
  <si>
    <t xml:space="preserve">                                   Milner Dam</t>
  </si>
  <si>
    <t>W1863</t>
  </si>
  <si>
    <t xml:space="preserve">                                 Burley Butte</t>
  </si>
  <si>
    <t>W1864</t>
  </si>
  <si>
    <t xml:space="preserve">                    Pilgrim Stage Station</t>
  </si>
  <si>
    <t>W1884</t>
  </si>
  <si>
    <t xml:space="preserve">                              Chelan PUD</t>
  </si>
  <si>
    <t>Not Avail</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</si>
</sst>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_(&quot;$&quot;* \(#,##0.00\);_(&quot;$&quot;* &quot;-&quot;??_);_(@_)"/>
    <numFmt numFmtId="43" formatCode="_(* #,##0.00_);_(* \(#,##0.00\);_(* &quot;-&quot;??_);_(@_)"/>
    <numFmt numFmtId="164" formatCode="_(* #,##0.0_);_(* \(#,##0.0\);_(* &quot;-&quot;??_);_(@_)"/>
    <numFmt numFmtId="165" formatCode="_(* #,##0_);_(* \(#,##0\);_(* &quot;-&quot;??_);_(@_)"/>
    <numFmt numFmtId="166" formatCode="_(&quot;$&quot;* #,##0_);_(&quot;$&quot;* \(#,##0\);_(&quot;$&quot;* &quot;-&quot;??_);_(@_)"/>
    <numFmt numFmtId="167" formatCode="0.0%"/>
    <numFmt numFmtId="168" formatCode="[$-409]mmmm\ d\,\ yyyy;@"/>
    <numFmt numFmtId="169" formatCode="&quot;$&quot;#,##0"/>
  </numFmts>
  <fonts count="35" x14ac:knownFonts="1">
    <font>
      <sz val="11"/>
      <color theme="1"/>
      <name val="Calibri"/>
      <family val="2"/>
      <scheme val="minor"/>
    </font>
    <font>
      <sz val="10"/>
      <name val="Arial"/>
      <family val="2"/>
    </font>
    <font>
      <i/>
      <sz val="10"/>
      <color indexed="60"/>
      <name val="Arial"/>
      <family val="2"/>
    </font>
    <font>
      <b/>
      <sz val="10"/>
      <name val="Arial"/>
      <family val="2"/>
    </font>
    <font>
      <sz val="12"/>
      <color indexed="8"/>
      <name val="Arial Black"/>
      <family val="2"/>
    </font>
    <font>
      <sz val="12"/>
      <color indexed="8"/>
      <name val="Arial"/>
      <family val="2"/>
    </font>
    <font>
      <b/>
      <i/>
      <sz val="10"/>
      <color indexed="60"/>
      <name val="Arial"/>
      <family val="2"/>
    </font>
    <font>
      <b/>
      <sz val="12"/>
      <color indexed="8"/>
      <name val="Arial"/>
      <family val="2"/>
    </font>
    <font>
      <sz val="11"/>
      <color theme="1"/>
      <name val="Calibri"/>
      <family val="2"/>
      <scheme val="minor"/>
    </font>
    <font>
      <u/>
      <sz val="8.25"/>
      <color theme="10"/>
      <name val="Calibri"/>
      <family val="2"/>
    </font>
    <font>
      <sz val="10"/>
      <color theme="1"/>
      <name val="Arial"/>
      <family val="2"/>
    </font>
    <font>
      <b/>
      <sz val="10"/>
      <color theme="1"/>
      <name val="Arial"/>
      <family val="2"/>
    </font>
    <font>
      <i/>
      <sz val="10"/>
      <color theme="1"/>
      <name val="Arial"/>
      <family val="2"/>
    </font>
    <font>
      <sz val="9"/>
      <color theme="1"/>
      <name val="Arial"/>
      <family val="2"/>
    </font>
    <font>
      <b/>
      <sz val="9"/>
      <color theme="1"/>
      <name val="Arial"/>
      <family val="2"/>
    </font>
    <font>
      <sz val="10"/>
      <color rgb="FFC00000"/>
      <name val="Arial"/>
      <family val="2"/>
    </font>
    <font>
      <i/>
      <sz val="10"/>
      <color rgb="FFC00000"/>
      <name val="Arial"/>
      <family val="2"/>
    </font>
    <font>
      <sz val="11"/>
      <color theme="1"/>
      <name val="Arial"/>
      <family val="2"/>
    </font>
    <font>
      <sz val="14"/>
      <color theme="1"/>
      <name val="Arial"/>
      <family val="2"/>
    </font>
    <font>
      <sz val="8"/>
      <color rgb="FF000000"/>
      <name val="Tahoma"/>
      <family val="2"/>
    </font>
    <font>
      <sz val="12"/>
      <color theme="1"/>
      <name val="Arial Black"/>
      <family val="2"/>
    </font>
    <font>
      <sz val="12"/>
      <color theme="1"/>
      <name val="Arial"/>
      <family val="2"/>
    </font>
    <font>
      <sz val="9.75"/>
      <color theme="1"/>
      <name val="Arial"/>
      <family val="2"/>
    </font>
    <font>
      <sz val="11"/>
      <color rgb="FF000000"/>
      <name val="Arial Black"/>
      <family val="2"/>
    </font>
    <font>
      <u/>
      <sz val="11"/>
      <color theme="1"/>
      <name val="Arial"/>
      <family val="2"/>
    </font>
    <font>
      <sz val="11"/>
      <color rgb="FF000000"/>
      <name val="Arial"/>
      <family val="2"/>
    </font>
    <font>
      <i/>
      <sz val="11"/>
      <color rgb="FF000000"/>
      <name val="Arial"/>
      <family val="2"/>
    </font>
    <font>
      <b/>
      <sz val="11"/>
      <color rgb="FF000000"/>
      <name val="Arial"/>
      <family val="2"/>
    </font>
    <font>
      <b/>
      <sz val="11"/>
      <color rgb="FF993300"/>
      <name val="Arial"/>
      <family val="2"/>
    </font>
    <font>
      <sz val="11"/>
      <color rgb="FF000000"/>
      <name val="Symbol"/>
      <family val="1"/>
      <charset val="2"/>
    </font>
    <font>
      <sz val="7"/>
      <color rgb="FF000000"/>
      <name val="Times New Roman"/>
      <family val="1"/>
    </font>
    <font>
      <sz val="11"/>
      <color rgb="FF993300"/>
      <name val="Arial"/>
      <family val="2"/>
    </font>
    <font>
      <b/>
      <i/>
      <sz val="11"/>
      <color rgb="FF000000"/>
      <name val="Arial"/>
      <family val="2"/>
    </font>
    <font>
      <b/>
      <sz val="11"/>
      <color theme="1"/>
      <name val="Arial"/>
      <family val="2"/>
    </font>
    <font>
      <b/>
      <sz val="12"/>
      <color theme="1"/>
      <name val="Arial"/>
      <family val="2"/>
    </font>
  </fonts>
  <fills count="9">
    <fill>
      <patternFill patternType="none"/>
    </fill>
    <fill>
      <patternFill patternType="gray125"/>
    </fill>
    <fill>
      <patternFill patternType="solid">
        <fgColor theme="0"/>
        <bgColor indexed="64"/>
      </patternFill>
    </fill>
    <fill>
      <patternFill patternType="solid">
        <fgColor rgb="FFE4E4E4"/>
        <bgColor indexed="64"/>
      </patternFill>
    </fill>
    <fill>
      <patternFill patternType="lightUp">
        <fgColor theme="0" tint="-0.499984740745262"/>
        <bgColor rgb="FFE4E4E4"/>
      </patternFill>
    </fill>
    <fill>
      <patternFill patternType="darkGray">
        <fgColor theme="0" tint="-0.499984740745262"/>
        <bgColor rgb="FFE4E4E4"/>
      </patternFill>
    </fill>
    <fill>
      <patternFill patternType="solid">
        <fgColor rgb="FFFFFFFF"/>
        <bgColor indexed="64"/>
      </patternFill>
    </fill>
    <fill>
      <patternFill patternType="solid">
        <fgColor theme="4" tint="0.79998168889431442"/>
        <bgColor indexed="64"/>
      </patternFill>
    </fill>
    <fill>
      <patternFill patternType="solid">
        <fgColor theme="6" tint="0.79998168889431442"/>
        <bgColor indexed="64"/>
      </patternFill>
    </fill>
  </fills>
  <borders count="44">
    <border>
      <left/>
      <right/>
      <top/>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hair">
        <color indexed="64"/>
      </top>
      <bottom style="hair">
        <color indexed="64"/>
      </bottom>
      <diagonal/>
    </border>
    <border>
      <left/>
      <right/>
      <top style="thin">
        <color indexed="64"/>
      </top>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right style="thin">
        <color indexed="64"/>
      </right>
      <top style="hair">
        <color indexed="64"/>
      </top>
      <bottom style="hair">
        <color indexed="64"/>
      </bottom>
      <diagonal/>
    </border>
    <border>
      <left/>
      <right style="thin">
        <color indexed="64"/>
      </right>
      <top/>
      <bottom style="thin">
        <color indexed="64"/>
      </bottom>
      <diagonal/>
    </border>
    <border>
      <left/>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thin">
        <color indexed="64"/>
      </bottom>
      <diagonal/>
    </border>
    <border>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diagonal/>
    </border>
    <border>
      <left/>
      <right style="hair">
        <color indexed="64"/>
      </right>
      <top/>
      <bottom style="hair">
        <color indexed="64"/>
      </bottom>
      <diagonal/>
    </border>
    <border>
      <left style="medium">
        <color indexed="64"/>
      </left>
      <right/>
      <top/>
      <bottom/>
      <diagonal/>
    </border>
    <border>
      <left style="medium">
        <color indexed="64"/>
      </left>
      <right/>
      <top/>
      <bottom style="medium">
        <color indexed="64"/>
      </bottom>
      <diagonal/>
    </border>
    <border>
      <left/>
      <right/>
      <top style="thick">
        <color indexed="64"/>
      </top>
      <bottom/>
      <diagonal/>
    </border>
    <border>
      <left/>
      <right/>
      <top/>
      <bottom style="thin">
        <color indexed="64"/>
      </bottom>
      <diagonal/>
    </border>
    <border>
      <left style="thin">
        <color indexed="64"/>
      </left>
      <right/>
      <top/>
      <bottom/>
      <diagonal/>
    </border>
    <border>
      <left/>
      <right style="thin">
        <color indexed="64"/>
      </right>
      <top style="thin">
        <color indexed="64"/>
      </top>
      <bottom style="hair">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style="hair">
        <color indexed="64"/>
      </left>
      <right/>
      <top/>
      <bottom style="hair">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bottom style="dotted">
        <color indexed="64"/>
      </bottom>
      <diagonal/>
    </border>
  </borders>
  <cellStyleXfs count="5">
    <xf numFmtId="0" fontId="0" fillId="0" borderId="0"/>
    <xf numFmtId="43" fontId="8" fillId="0" borderId="0" applyFont="0" applyFill="0" applyBorder="0" applyAlignment="0" applyProtection="0"/>
    <xf numFmtId="44" fontId="8" fillId="0" borderId="0" applyFont="0" applyFill="0" applyBorder="0" applyAlignment="0" applyProtection="0"/>
    <xf numFmtId="0" fontId="9" fillId="0" borderId="0" applyNumberFormat="0" applyFill="0" applyBorder="0" applyAlignment="0" applyProtection="0">
      <alignment vertical="top"/>
      <protection locked="0"/>
    </xf>
    <xf numFmtId="9" fontId="8" fillId="0" borderId="0" applyFont="0" applyFill="0" applyBorder="0" applyAlignment="0" applyProtection="0"/>
  </cellStyleXfs>
  <cellXfs count="216">
    <xf numFmtId="0" fontId="0" fillId="0" borderId="0" xfId="0"/>
    <xf numFmtId="0" fontId="10" fillId="2" borderId="0" xfId="0" applyFont="1" applyFill="1"/>
    <xf numFmtId="0" fontId="11" fillId="2" borderId="0" xfId="0" applyFont="1" applyFill="1" applyBorder="1" applyAlignment="1"/>
    <xf numFmtId="0" fontId="11" fillId="2" borderId="0" xfId="0" applyFont="1" applyFill="1" applyBorder="1" applyAlignment="1">
      <alignment horizontal="right"/>
    </xf>
    <xf numFmtId="0" fontId="10" fillId="2" borderId="0" xfId="0" applyFont="1" applyFill="1" applyBorder="1" applyAlignment="1">
      <alignment horizontal="right"/>
    </xf>
    <xf numFmtId="0" fontId="10" fillId="2" borderId="0" xfId="0" applyFont="1" applyFill="1" applyAlignment="1">
      <alignment horizontal="right"/>
    </xf>
    <xf numFmtId="0" fontId="11" fillId="2" borderId="0" xfId="0" applyFont="1" applyFill="1" applyBorder="1" applyAlignment="1">
      <alignment horizontal="left"/>
    </xf>
    <xf numFmtId="0" fontId="10" fillId="2" borderId="0" xfId="0" applyFont="1" applyFill="1" applyBorder="1"/>
    <xf numFmtId="0" fontId="10" fillId="2" borderId="0" xfId="0" applyFont="1" applyFill="1" applyAlignment="1">
      <alignment horizontal="center"/>
    </xf>
    <xf numFmtId="0" fontId="10" fillId="2" borderId="0" xfId="0" applyFont="1" applyFill="1" applyBorder="1" applyAlignment="1">
      <alignment horizontal="center"/>
    </xf>
    <xf numFmtId="0" fontId="11" fillId="2" borderId="0" xfId="0" applyFont="1" applyFill="1" applyAlignment="1">
      <alignment horizontal="right"/>
    </xf>
    <xf numFmtId="0" fontId="11" fillId="2" borderId="0" xfId="0" applyFont="1" applyFill="1"/>
    <xf numFmtId="0" fontId="10" fillId="2" borderId="0" xfId="0" applyFont="1" applyFill="1" applyAlignment="1">
      <alignment wrapText="1"/>
    </xf>
    <xf numFmtId="0" fontId="12" fillId="2" borderId="0" xfId="0" applyFont="1" applyFill="1" applyBorder="1"/>
    <xf numFmtId="0" fontId="11" fillId="2" borderId="4" xfId="0" applyFont="1" applyFill="1" applyBorder="1" applyAlignment="1">
      <alignment horizontal="center" wrapText="1"/>
    </xf>
    <xf numFmtId="0" fontId="10" fillId="2" borderId="5" xfId="0" applyFont="1" applyFill="1" applyBorder="1"/>
    <xf numFmtId="0" fontId="11" fillId="2" borderId="6" xfId="0" applyFont="1" applyFill="1" applyBorder="1" applyAlignment="1">
      <alignment horizontal="right"/>
    </xf>
    <xf numFmtId="0" fontId="11" fillId="2" borderId="0" xfId="0" applyFont="1" applyFill="1" applyBorder="1"/>
    <xf numFmtId="165" fontId="11" fillId="2" borderId="0" xfId="0" applyNumberFormat="1" applyFont="1" applyFill="1" applyBorder="1" applyAlignment="1">
      <alignment horizontal="center"/>
    </xf>
    <xf numFmtId="165" fontId="11" fillId="2" borderId="0" xfId="1" applyNumberFormat="1" applyFont="1" applyFill="1" applyBorder="1" applyAlignment="1">
      <alignment horizontal="center"/>
    </xf>
    <xf numFmtId="0" fontId="10" fillId="2" borderId="0" xfId="0" applyFont="1" applyFill="1" applyAlignment="1"/>
    <xf numFmtId="0" fontId="13" fillId="2" borderId="0" xfId="0" applyFont="1" applyFill="1" applyAlignment="1">
      <alignment horizontal="center" vertical="center"/>
    </xf>
    <xf numFmtId="0" fontId="10" fillId="2" borderId="7" xfId="0" applyFont="1" applyFill="1" applyBorder="1"/>
    <xf numFmtId="0" fontId="14" fillId="2" borderId="0" xfId="0" applyFont="1" applyFill="1" applyBorder="1" applyAlignment="1">
      <alignment horizontal="center" vertical="center" wrapText="1"/>
    </xf>
    <xf numFmtId="0" fontId="10" fillId="2" borderId="0" xfId="0" applyFont="1" applyFill="1" applyBorder="1" applyAlignment="1"/>
    <xf numFmtId="0" fontId="15" fillId="2" borderId="0" xfId="0" applyFont="1" applyFill="1"/>
    <xf numFmtId="0" fontId="15" fillId="0" borderId="0" xfId="0" applyFont="1" applyAlignment="1">
      <alignment wrapText="1"/>
    </xf>
    <xf numFmtId="0" fontId="13" fillId="2" borderId="3"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9" xfId="0" applyFont="1" applyFill="1" applyBorder="1" applyAlignment="1">
      <alignment horizontal="center" vertical="center" wrapText="1"/>
    </xf>
    <xf numFmtId="0" fontId="1" fillId="2" borderId="12" xfId="0" applyFont="1" applyFill="1" applyBorder="1" applyAlignment="1" applyProtection="1">
      <alignment horizontal="right"/>
    </xf>
    <xf numFmtId="0" fontId="10" fillId="2" borderId="12" xfId="0" applyFont="1" applyFill="1" applyBorder="1" applyAlignment="1">
      <alignment horizontal="right"/>
    </xf>
    <xf numFmtId="0" fontId="11" fillId="2" borderId="13" xfId="0" applyFont="1" applyFill="1" applyBorder="1"/>
    <xf numFmtId="0" fontId="3" fillId="2" borderId="0" xfId="0" applyFont="1" applyFill="1" applyAlignment="1">
      <alignment horizontal="right"/>
    </xf>
    <xf numFmtId="166" fontId="10" fillId="2" borderId="0" xfId="2" applyNumberFormat="1" applyFont="1" applyFill="1" applyBorder="1" applyAlignment="1">
      <alignment horizontal="right"/>
    </xf>
    <xf numFmtId="167" fontId="10" fillId="2" borderId="0" xfId="4" applyNumberFormat="1" applyFont="1" applyFill="1" applyBorder="1" applyAlignment="1">
      <alignment horizontal="right"/>
    </xf>
    <xf numFmtId="166" fontId="10" fillId="2" borderId="0" xfId="0" applyNumberFormat="1" applyFont="1" applyFill="1" applyBorder="1"/>
    <xf numFmtId="0" fontId="10" fillId="2" borderId="0" xfId="0" applyFont="1" applyFill="1" applyBorder="1" applyAlignment="1">
      <alignment horizontal="left"/>
    </xf>
    <xf numFmtId="0" fontId="17" fillId="2" borderId="28" xfId="0" applyFont="1" applyFill="1" applyBorder="1" applyAlignment="1">
      <alignment horizontal="right"/>
    </xf>
    <xf numFmtId="0" fontId="17" fillId="2" borderId="29" xfId="0" applyFont="1" applyFill="1" applyBorder="1" applyAlignment="1">
      <alignment horizontal="right"/>
    </xf>
    <xf numFmtId="0" fontId="17" fillId="2" borderId="0" xfId="0" applyFont="1" applyFill="1" applyAlignment="1">
      <alignment horizontal="right"/>
    </xf>
    <xf numFmtId="0" fontId="18" fillId="2" borderId="0" xfId="0" applyFont="1" applyFill="1"/>
    <xf numFmtId="0" fontId="18" fillId="2" borderId="0" xfId="0" applyFont="1" applyFill="1" applyBorder="1" applyAlignment="1"/>
    <xf numFmtId="0" fontId="17" fillId="2" borderId="0" xfId="0" applyFont="1" applyFill="1" applyBorder="1"/>
    <xf numFmtId="0" fontId="17" fillId="2" borderId="0" xfId="0" applyFont="1" applyFill="1"/>
    <xf numFmtId="0" fontId="11" fillId="2" borderId="0" xfId="0" applyFont="1" applyFill="1" applyBorder="1" applyAlignment="1">
      <alignment horizontal="center"/>
    </xf>
    <xf numFmtId="0" fontId="1" fillId="2" borderId="0" xfId="0" applyFont="1" applyFill="1" applyBorder="1" applyAlignment="1">
      <alignment horizontal="right" wrapText="1"/>
    </xf>
    <xf numFmtId="0" fontId="1" fillId="2" borderId="0" xfId="0" applyFont="1" applyFill="1" applyBorder="1" applyAlignment="1">
      <alignment horizontal="right"/>
    </xf>
    <xf numFmtId="0" fontId="7" fillId="2" borderId="0" xfId="0" applyNumberFormat="1" applyFont="1" applyFill="1" applyBorder="1" applyAlignment="1"/>
    <xf numFmtId="0" fontId="11" fillId="2" borderId="0" xfId="0" applyFont="1" applyFill="1" applyBorder="1" applyAlignment="1">
      <alignment horizontal="center"/>
    </xf>
    <xf numFmtId="0" fontId="1" fillId="2" borderId="0" xfId="0" applyFont="1" applyFill="1" applyBorder="1" applyAlignment="1">
      <alignment horizontal="right"/>
    </xf>
    <xf numFmtId="0" fontId="3" fillId="2" borderId="0" xfId="0" applyFont="1" applyFill="1" applyAlignment="1">
      <alignment horizontal="center"/>
    </xf>
    <xf numFmtId="0" fontId="1" fillId="2" borderId="0" xfId="0" applyFont="1" applyFill="1" applyBorder="1" applyAlignment="1">
      <alignment horizontal="right"/>
    </xf>
    <xf numFmtId="0" fontId="10" fillId="2" borderId="32" xfId="0" applyFont="1" applyFill="1" applyBorder="1"/>
    <xf numFmtId="0" fontId="10" fillId="2" borderId="37" xfId="0" applyFont="1" applyFill="1" applyBorder="1"/>
    <xf numFmtId="0" fontId="10" fillId="2" borderId="31" xfId="0" applyFont="1" applyFill="1" applyBorder="1"/>
    <xf numFmtId="0" fontId="1" fillId="2" borderId="31" xfId="0" applyFont="1" applyFill="1" applyBorder="1" applyAlignment="1">
      <alignment horizontal="right"/>
    </xf>
    <xf numFmtId="0" fontId="20" fillId="2" borderId="0" xfId="0" applyFont="1" applyFill="1" applyBorder="1" applyAlignment="1"/>
    <xf numFmtId="0" fontId="10" fillId="2" borderId="0" xfId="0" applyFont="1" applyFill="1" applyAlignment="1">
      <alignment horizontal="left"/>
    </xf>
    <xf numFmtId="0" fontId="11" fillId="2" borderId="38" xfId="0" applyFont="1" applyFill="1" applyBorder="1" applyAlignment="1">
      <alignment horizontal="center" wrapText="1"/>
    </xf>
    <xf numFmtId="165" fontId="11" fillId="3" borderId="2" xfId="1" applyNumberFormat="1" applyFont="1" applyFill="1" applyBorder="1" applyAlignment="1">
      <alignment horizontal="right"/>
    </xf>
    <xf numFmtId="165" fontId="11" fillId="3" borderId="18" xfId="1" applyNumberFormat="1" applyFont="1" applyFill="1" applyBorder="1" applyAlignment="1">
      <alignment horizontal="right"/>
    </xf>
    <xf numFmtId="164" fontId="10" fillId="4" borderId="26" xfId="0" applyNumberFormat="1" applyFont="1" applyFill="1" applyBorder="1" applyAlignment="1">
      <alignment horizontal="center"/>
    </xf>
    <xf numFmtId="0" fontId="10" fillId="2" borderId="32" xfId="0" applyFont="1" applyFill="1" applyBorder="1" applyAlignment="1"/>
    <xf numFmtId="164" fontId="10" fillId="5" borderId="26" xfId="0" applyNumberFormat="1" applyFont="1" applyFill="1" applyBorder="1" applyAlignment="1">
      <alignment horizontal="center"/>
    </xf>
    <xf numFmtId="164" fontId="10" fillId="5" borderId="27" xfId="0" applyNumberFormat="1" applyFont="1" applyFill="1" applyBorder="1" applyAlignment="1">
      <alignment horizontal="center"/>
    </xf>
    <xf numFmtId="169" fontId="10" fillId="2" borderId="0" xfId="0" applyNumberFormat="1" applyFont="1" applyFill="1" applyAlignment="1">
      <alignment horizontal="right"/>
    </xf>
    <xf numFmtId="0" fontId="22" fillId="2" borderId="0" xfId="0" applyFont="1" applyFill="1" applyBorder="1" applyAlignment="1">
      <alignment vertical="top" wrapText="1"/>
    </xf>
    <xf numFmtId="0" fontId="22" fillId="2" borderId="31" xfId="0" applyFont="1" applyFill="1" applyBorder="1" applyAlignment="1">
      <alignment vertical="top" wrapText="1"/>
    </xf>
    <xf numFmtId="0" fontId="18" fillId="2" borderId="0" xfId="0" applyFont="1" applyFill="1" applyBorder="1"/>
    <xf numFmtId="0" fontId="22" fillId="2" borderId="37" xfId="0" applyFont="1" applyFill="1" applyBorder="1" applyAlignment="1">
      <alignment vertical="top"/>
    </xf>
    <xf numFmtId="0" fontId="23" fillId="0" borderId="39" xfId="0" applyFont="1" applyBorder="1" applyAlignment="1">
      <alignment vertical="center" wrapText="1"/>
    </xf>
    <xf numFmtId="0" fontId="23" fillId="0" borderId="40" xfId="0" applyFont="1" applyBorder="1" applyAlignment="1">
      <alignment vertical="center" wrapText="1"/>
    </xf>
    <xf numFmtId="0" fontId="17" fillId="0" borderId="40" xfId="0" applyFont="1" applyBorder="1" applyAlignment="1">
      <alignment vertical="center" wrapText="1"/>
    </xf>
    <xf numFmtId="0" fontId="17" fillId="0" borderId="41" xfId="0" applyFont="1" applyBorder="1" applyAlignment="1">
      <alignment vertical="center" wrapText="1"/>
    </xf>
    <xf numFmtId="0" fontId="25" fillId="6" borderId="42" xfId="0" applyFont="1" applyFill="1" applyBorder="1" applyAlignment="1">
      <alignment vertical="center"/>
    </xf>
    <xf numFmtId="0" fontId="25" fillId="6" borderId="43" xfId="0" applyFont="1" applyFill="1" applyBorder="1" applyAlignment="1">
      <alignment vertical="center"/>
    </xf>
    <xf numFmtId="0" fontId="27" fillId="6" borderId="40" xfId="0" applyFont="1" applyFill="1" applyBorder="1" applyAlignment="1">
      <alignment vertical="center" wrapText="1"/>
    </xf>
    <xf numFmtId="0" fontId="27" fillId="6" borderId="43" xfId="0" applyFont="1" applyFill="1" applyBorder="1" applyAlignment="1">
      <alignment vertical="center" wrapText="1"/>
    </xf>
    <xf numFmtId="0" fontId="25" fillId="6" borderId="40" xfId="0" applyFont="1" applyFill="1" applyBorder="1" applyAlignment="1">
      <alignment vertical="center" wrapText="1"/>
    </xf>
    <xf numFmtId="0" fontId="27" fillId="6" borderId="43" xfId="0" applyFont="1" applyFill="1" applyBorder="1" applyAlignment="1">
      <alignment vertical="center"/>
    </xf>
    <xf numFmtId="0" fontId="25" fillId="6" borderId="43" xfId="0" applyFont="1" applyFill="1" applyBorder="1" applyAlignment="1">
      <alignment vertical="center" wrapText="1"/>
    </xf>
    <xf numFmtId="0" fontId="23" fillId="6" borderId="43" xfId="0" applyFont="1" applyFill="1" applyBorder="1" applyAlignment="1">
      <alignment vertical="center"/>
    </xf>
    <xf numFmtId="0" fontId="27" fillId="6" borderId="40" xfId="0" applyFont="1" applyFill="1" applyBorder="1" applyAlignment="1">
      <alignment vertical="center"/>
    </xf>
    <xf numFmtId="0" fontId="29" fillId="6" borderId="40" xfId="0" applyFont="1" applyFill="1" applyBorder="1" applyAlignment="1">
      <alignment horizontal="left" vertical="center" wrapText="1" indent="5"/>
    </xf>
    <xf numFmtId="0" fontId="0" fillId="6" borderId="40" xfId="0" applyFill="1" applyBorder="1" applyAlignment="1">
      <alignment vertical="center" wrapText="1"/>
    </xf>
    <xf numFmtId="0" fontId="28" fillId="6" borderId="43" xfId="0" applyFont="1" applyFill="1" applyBorder="1" applyAlignment="1">
      <alignment vertical="center" wrapText="1"/>
    </xf>
    <xf numFmtId="0" fontId="27" fillId="6" borderId="41" xfId="0" applyFont="1" applyFill="1" applyBorder="1" applyAlignment="1">
      <alignment vertical="center"/>
    </xf>
    <xf numFmtId="0" fontId="10" fillId="2" borderId="0" xfId="0" applyFont="1" applyFill="1" applyBorder="1" applyAlignment="1"/>
    <xf numFmtId="0" fontId="11" fillId="2" borderId="0" xfId="0" applyFont="1" applyFill="1" applyBorder="1" applyAlignment="1">
      <alignment horizontal="center"/>
    </xf>
    <xf numFmtId="0" fontId="10" fillId="2" borderId="0" xfId="0" applyNumberFormat="1" applyFont="1" applyFill="1"/>
    <xf numFmtId="0" fontId="0" fillId="0" borderId="0" xfId="0" applyNumberFormat="1"/>
    <xf numFmtId="168" fontId="32" fillId="6" borderId="43" xfId="0" applyNumberFormat="1" applyFont="1" applyFill="1" applyBorder="1" applyAlignment="1">
      <alignment horizontal="left" vertical="center"/>
    </xf>
    <xf numFmtId="0" fontId="11" fillId="2" borderId="27" xfId="0" applyFont="1" applyFill="1" applyBorder="1" applyAlignment="1">
      <alignment horizontal="center" wrapText="1"/>
    </xf>
    <xf numFmtId="0" fontId="3" fillId="2" borderId="0" xfId="0" applyFont="1" applyFill="1" applyBorder="1" applyAlignment="1"/>
    <xf numFmtId="0" fontId="1" fillId="7" borderId="10" xfId="0" applyFont="1" applyFill="1" applyBorder="1" applyAlignment="1">
      <alignment horizontal="center"/>
    </xf>
    <xf numFmtId="0" fontId="1" fillId="7" borderId="1" xfId="0" applyFont="1" applyFill="1" applyBorder="1" applyAlignment="1">
      <alignment horizontal="center"/>
    </xf>
    <xf numFmtId="0" fontId="1" fillId="7" borderId="1" xfId="0" applyFont="1" applyFill="1" applyBorder="1" applyAlignment="1">
      <alignment horizontal="right"/>
    </xf>
    <xf numFmtId="0" fontId="1" fillId="7" borderId="6" xfId="0" applyFont="1" applyFill="1" applyBorder="1" applyAlignment="1">
      <alignment horizontal="center"/>
    </xf>
    <xf numFmtId="0" fontId="1" fillId="7" borderId="23" xfId="0" applyFont="1" applyFill="1" applyBorder="1" applyAlignment="1">
      <alignment horizontal="center"/>
    </xf>
    <xf numFmtId="0" fontId="1" fillId="7" borderId="23" xfId="0" applyFont="1" applyFill="1" applyBorder="1" applyAlignment="1">
      <alignment horizontal="right"/>
    </xf>
    <xf numFmtId="165" fontId="10" fillId="7" borderId="1" xfId="1" applyNumberFormat="1" applyFont="1" applyFill="1" applyBorder="1" applyAlignment="1"/>
    <xf numFmtId="165" fontId="10" fillId="7" borderId="23" xfId="1" applyNumberFormat="1" applyFont="1" applyFill="1" applyBorder="1" applyAlignment="1"/>
    <xf numFmtId="0" fontId="1" fillId="7" borderId="11" xfId="0" applyFont="1" applyFill="1" applyBorder="1" applyAlignment="1">
      <alignment horizontal="center"/>
    </xf>
    <xf numFmtId="0" fontId="1" fillId="7" borderId="2" xfId="0" applyFont="1" applyFill="1" applyBorder="1" applyAlignment="1">
      <alignment horizontal="center"/>
    </xf>
    <xf numFmtId="0" fontId="1" fillId="7" borderId="2" xfId="0" applyFont="1" applyFill="1" applyBorder="1" applyAlignment="1">
      <alignment horizontal="right"/>
    </xf>
    <xf numFmtId="165" fontId="10" fillId="7" borderId="2" xfId="1" applyNumberFormat="1" applyFont="1" applyFill="1" applyBorder="1" applyAlignment="1"/>
    <xf numFmtId="0" fontId="14" fillId="2" borderId="0" xfId="0" applyFont="1" applyFill="1" applyAlignment="1">
      <alignment horizontal="center" wrapText="1"/>
    </xf>
    <xf numFmtId="0" fontId="3" fillId="7" borderId="0" xfId="0" applyFont="1" applyFill="1" applyBorder="1" applyAlignment="1">
      <alignment horizontal="center"/>
    </xf>
    <xf numFmtId="0" fontId="3" fillId="7" borderId="0" xfId="0" applyFont="1" applyFill="1" applyBorder="1" applyAlignment="1">
      <alignment horizontal="right"/>
    </xf>
    <xf numFmtId="165" fontId="3" fillId="7" borderId="0" xfId="1" applyNumberFormat="1" applyFont="1" applyFill="1" applyBorder="1" applyAlignment="1">
      <alignment horizontal="right"/>
    </xf>
    <xf numFmtId="169" fontId="3" fillId="7" borderId="0" xfId="0" applyNumberFormat="1" applyFont="1" applyFill="1" applyBorder="1" applyAlignment="1">
      <alignment horizontal="right"/>
    </xf>
    <xf numFmtId="0" fontId="14" fillId="2" borderId="0" xfId="0" applyFont="1" applyFill="1" applyAlignment="1">
      <alignment horizontal="center"/>
    </xf>
    <xf numFmtId="0" fontId="10" fillId="7" borderId="0" xfId="0" applyFont="1" applyFill="1"/>
    <xf numFmtId="169" fontId="10" fillId="7" borderId="12" xfId="0" applyNumberFormat="1" applyFont="1" applyFill="1" applyBorder="1" applyAlignment="1"/>
    <xf numFmtId="167" fontId="10" fillId="7" borderId="13" xfId="4" applyNumberFormat="1" applyFont="1" applyFill="1" applyBorder="1" applyAlignment="1">
      <alignment horizontal="center"/>
    </xf>
    <xf numFmtId="9" fontId="1" fillId="7" borderId="36" xfId="0" applyNumberFormat="1" applyFont="1" applyFill="1" applyBorder="1" applyAlignment="1">
      <alignment horizontal="center"/>
    </xf>
    <xf numFmtId="165" fontId="11" fillId="7" borderId="11" xfId="0" applyNumberFormat="1" applyFont="1" applyFill="1" applyBorder="1" applyAlignment="1">
      <alignment horizontal="center"/>
    </xf>
    <xf numFmtId="169" fontId="11" fillId="7" borderId="2" xfId="1" applyNumberFormat="1" applyFont="1" applyFill="1" applyBorder="1" applyAlignment="1">
      <alignment horizontal="right"/>
    </xf>
    <xf numFmtId="0" fontId="11" fillId="2" borderId="0" xfId="0" applyFont="1" applyFill="1" applyBorder="1" applyAlignment="1">
      <alignment horizontal="left" wrapText="1"/>
    </xf>
    <xf numFmtId="165" fontId="10" fillId="8" borderId="6" xfId="1" applyNumberFormat="1" applyFont="1" applyFill="1" applyBorder="1" applyAlignment="1">
      <alignment horizontal="center"/>
    </xf>
    <xf numFmtId="169" fontId="10" fillId="8" borderId="23" xfId="1" applyNumberFormat="1" applyFont="1" applyFill="1" applyBorder="1" applyAlignment="1">
      <alignment horizontal="right"/>
    </xf>
    <xf numFmtId="165" fontId="10" fillId="8" borderId="6" xfId="0" applyNumberFormat="1" applyFont="1" applyFill="1" applyBorder="1" applyAlignment="1">
      <alignment horizontal="center"/>
    </xf>
    <xf numFmtId="0" fontId="11" fillId="8" borderId="12" xfId="0" applyFont="1" applyFill="1" applyBorder="1"/>
    <xf numFmtId="0" fontId="11" fillId="8" borderId="12" xfId="0" applyFont="1" applyFill="1" applyBorder="1" applyAlignment="1">
      <alignment vertical="center" wrapText="1"/>
    </xf>
    <xf numFmtId="169" fontId="10" fillId="8" borderId="12" xfId="0" applyNumberFormat="1" applyFont="1" applyFill="1" applyBorder="1" applyAlignment="1"/>
    <xf numFmtId="165" fontId="10" fillId="8" borderId="1" xfId="1" applyNumberFormat="1" applyFont="1" applyFill="1" applyBorder="1"/>
    <xf numFmtId="165" fontId="10" fillId="8" borderId="2" xfId="1" applyNumberFormat="1" applyFont="1" applyFill="1" applyBorder="1"/>
    <xf numFmtId="165" fontId="10" fillId="8" borderId="3" xfId="1" applyNumberFormat="1" applyFont="1" applyFill="1" applyBorder="1"/>
    <xf numFmtId="0" fontId="1" fillId="8" borderId="33" xfId="0" applyFont="1" applyFill="1" applyBorder="1" applyAlignment="1">
      <alignment horizontal="right"/>
    </xf>
    <xf numFmtId="0" fontId="1" fillId="8" borderId="20" xfId="0" applyFont="1" applyFill="1" applyBorder="1" applyAlignment="1">
      <alignment horizontal="right"/>
    </xf>
    <xf numFmtId="165" fontId="10" fillId="8" borderId="21" xfId="1" applyNumberFormat="1" applyFont="1" applyFill="1" applyBorder="1"/>
    <xf numFmtId="0" fontId="1" fillId="8" borderId="12" xfId="0" applyFont="1" applyFill="1" applyBorder="1" applyAlignment="1">
      <alignment horizontal="right"/>
    </xf>
    <xf numFmtId="0" fontId="1" fillId="8" borderId="14" xfId="0" applyFont="1" applyFill="1" applyBorder="1" applyAlignment="1">
      <alignment horizontal="right"/>
    </xf>
    <xf numFmtId="165" fontId="10" fillId="8" borderId="22" xfId="1" applyNumberFormat="1" applyFont="1" applyFill="1" applyBorder="1"/>
    <xf numFmtId="165" fontId="10" fillId="8" borderId="23" xfId="1" applyNumberFormat="1" applyFont="1" applyFill="1" applyBorder="1"/>
    <xf numFmtId="0" fontId="1" fillId="8" borderId="12" xfId="0" applyFont="1" applyFill="1" applyBorder="1" applyAlignment="1">
      <alignment horizontal="right" wrapText="1"/>
    </xf>
    <xf numFmtId="0" fontId="1" fillId="8" borderId="14" xfId="0" applyFont="1" applyFill="1" applyBorder="1" applyAlignment="1">
      <alignment horizontal="right" wrapText="1"/>
    </xf>
    <xf numFmtId="0" fontId="3" fillId="8" borderId="12" xfId="0" applyFont="1" applyFill="1" applyBorder="1" applyAlignment="1">
      <alignment horizontal="right"/>
    </xf>
    <xf numFmtId="0" fontId="3" fillId="8" borderId="14" xfId="0" applyFont="1" applyFill="1" applyBorder="1" applyAlignment="1">
      <alignment horizontal="right"/>
    </xf>
    <xf numFmtId="0" fontId="11" fillId="8" borderId="14" xfId="0" applyFont="1" applyFill="1" applyBorder="1"/>
    <xf numFmtId="0" fontId="11" fillId="8" borderId="16" xfId="0" applyFont="1" applyFill="1" applyBorder="1"/>
    <xf numFmtId="0" fontId="11" fillId="8" borderId="15" xfId="0" applyFont="1" applyFill="1" applyBorder="1"/>
    <xf numFmtId="165" fontId="10" fillId="8" borderId="25" xfId="1" applyNumberFormat="1" applyFont="1" applyFill="1" applyBorder="1"/>
    <xf numFmtId="165" fontId="10" fillId="8" borderId="17" xfId="1" applyNumberFormat="1" applyFont="1" applyFill="1" applyBorder="1"/>
    <xf numFmtId="165" fontId="10" fillId="8" borderId="24" xfId="1" applyNumberFormat="1" applyFont="1" applyFill="1" applyBorder="1"/>
    <xf numFmtId="165" fontId="10" fillId="8" borderId="18" xfId="1" applyNumberFormat="1" applyFont="1" applyFill="1" applyBorder="1"/>
    <xf numFmtId="169" fontId="10" fillId="8" borderId="1" xfId="1" applyNumberFormat="1" applyFont="1" applyFill="1" applyBorder="1"/>
    <xf numFmtId="169" fontId="10" fillId="8" borderId="23" xfId="1" applyNumberFormat="1" applyFont="1" applyFill="1" applyBorder="1"/>
    <xf numFmtId="169" fontId="10" fillId="8" borderId="2" xfId="1" applyNumberFormat="1" applyFont="1" applyFill="1" applyBorder="1"/>
    <xf numFmtId="169" fontId="10" fillId="8" borderId="11" xfId="1" applyNumberFormat="1" applyFont="1" applyFill="1" applyBorder="1"/>
    <xf numFmtId="0" fontId="25" fillId="8" borderId="43" xfId="0" applyFont="1" applyFill="1" applyBorder="1" applyAlignment="1">
      <alignment vertical="center"/>
    </xf>
    <xf numFmtId="0" fontId="25" fillId="7" borderId="43" xfId="0" applyFont="1" applyFill="1" applyBorder="1" applyAlignment="1">
      <alignment vertical="center"/>
    </xf>
    <xf numFmtId="0" fontId="34" fillId="2" borderId="0" xfId="0" applyFont="1" applyFill="1" applyBorder="1" applyAlignment="1">
      <alignment horizontal="left"/>
    </xf>
    <xf numFmtId="0" fontId="3" fillId="2" borderId="0" xfId="0" applyFont="1" applyFill="1" applyAlignment="1">
      <alignment horizontal="center" wrapText="1"/>
    </xf>
    <xf numFmtId="0" fontId="10" fillId="7" borderId="0" xfId="0" applyFont="1" applyFill="1" applyAlignment="1">
      <alignment horizontal="center"/>
    </xf>
    <xf numFmtId="1" fontId="1" fillId="7" borderId="23" xfId="0" applyNumberFormat="1" applyFont="1" applyFill="1" applyBorder="1" applyAlignment="1">
      <alignment horizontal="right"/>
    </xf>
    <xf numFmtId="1" fontId="1" fillId="7" borderId="1" xfId="0" applyNumberFormat="1" applyFont="1" applyFill="1" applyBorder="1" applyAlignment="1">
      <alignment horizontal="right"/>
    </xf>
    <xf numFmtId="1" fontId="1" fillId="7" borderId="2" xfId="0" applyNumberFormat="1" applyFont="1" applyFill="1" applyBorder="1" applyAlignment="1">
      <alignment horizontal="right"/>
    </xf>
    <xf numFmtId="0" fontId="10" fillId="8" borderId="12" xfId="0" applyFont="1" applyFill="1" applyBorder="1" applyAlignment="1">
      <alignment vertical="center" wrapText="1"/>
    </xf>
    <xf numFmtId="165" fontId="10" fillId="8" borderId="12" xfId="1" applyNumberFormat="1" applyFont="1" applyFill="1" applyBorder="1" applyAlignment="1">
      <alignment horizontal="center"/>
    </xf>
    <xf numFmtId="165" fontId="10" fillId="8" borderId="1" xfId="1" applyNumberFormat="1" applyFont="1" applyFill="1" applyBorder="1" applyAlignment="1">
      <alignment horizontal="right"/>
    </xf>
    <xf numFmtId="165" fontId="10" fillId="8" borderId="23" xfId="1" applyNumberFormat="1" applyFont="1" applyFill="1" applyBorder="1" applyAlignment="1">
      <alignment horizontal="right"/>
    </xf>
    <xf numFmtId="1" fontId="10" fillId="8" borderId="1" xfId="1" applyNumberFormat="1" applyFont="1" applyFill="1" applyBorder="1" applyAlignment="1">
      <alignment horizontal="right"/>
    </xf>
    <xf numFmtId="1" fontId="10" fillId="8" borderId="23" xfId="1" applyNumberFormat="1" applyFont="1" applyFill="1" applyBorder="1" applyAlignment="1">
      <alignment horizontal="right"/>
    </xf>
    <xf numFmtId="165" fontId="10" fillId="7" borderId="36" xfId="1" applyNumberFormat="1" applyFont="1" applyFill="1" applyBorder="1" applyAlignment="1">
      <alignment horizontal="center"/>
    </xf>
    <xf numFmtId="165" fontId="10" fillId="7" borderId="13" xfId="1" applyNumberFormat="1" applyFont="1" applyFill="1" applyBorder="1" applyAlignment="1">
      <alignment horizontal="center"/>
    </xf>
    <xf numFmtId="0" fontId="11" fillId="7" borderId="19" xfId="0" applyFont="1" applyFill="1" applyBorder="1" applyAlignment="1">
      <alignment horizontal="center"/>
    </xf>
    <xf numFmtId="0" fontId="10" fillId="2" borderId="30" xfId="0" applyFont="1" applyFill="1" applyBorder="1" applyAlignment="1"/>
    <xf numFmtId="0" fontId="10" fillId="2" borderId="0" xfId="0" applyFont="1" applyFill="1" applyBorder="1" applyAlignment="1"/>
    <xf numFmtId="0" fontId="11" fillId="2" borderId="0" xfId="0" applyFont="1" applyFill="1" applyBorder="1" applyAlignment="1">
      <alignment horizontal="center"/>
    </xf>
    <xf numFmtId="0" fontId="11" fillId="2" borderId="31" xfId="0" applyFont="1" applyFill="1" applyBorder="1" applyAlignment="1">
      <alignment horizontal="center"/>
    </xf>
    <xf numFmtId="0" fontId="11" fillId="2" borderId="30" xfId="0" applyFont="1" applyFill="1" applyBorder="1" applyAlignment="1"/>
    <xf numFmtId="0" fontId="10" fillId="2" borderId="0" xfId="0" applyFont="1" applyFill="1" applyBorder="1" applyAlignment="1">
      <alignment horizontal="right" wrapText="1"/>
    </xf>
    <xf numFmtId="0" fontId="10" fillId="2" borderId="36" xfId="0" applyFont="1" applyFill="1" applyBorder="1" applyAlignment="1">
      <alignment horizontal="right" wrapText="1"/>
    </xf>
    <xf numFmtId="0" fontId="11" fillId="8" borderId="20" xfId="0" applyFont="1" applyFill="1" applyBorder="1" applyAlignment="1">
      <alignment horizontal="center"/>
    </xf>
    <xf numFmtId="168" fontId="12" fillId="8" borderId="14" xfId="0" applyNumberFormat="1" applyFont="1" applyFill="1" applyBorder="1" applyAlignment="1">
      <alignment horizontal="left"/>
    </xf>
    <xf numFmtId="168" fontId="10" fillId="8" borderId="14" xfId="0" applyNumberFormat="1" applyFont="1" applyFill="1" applyBorder="1" applyAlignment="1">
      <alignment horizontal="left"/>
    </xf>
    <xf numFmtId="0" fontId="11" fillId="8" borderId="14" xfId="0" applyFont="1" applyFill="1" applyBorder="1" applyAlignment="1">
      <alignment horizontal="left"/>
    </xf>
    <xf numFmtId="0" fontId="10" fillId="8" borderId="14" xfId="0" applyFont="1" applyFill="1" applyBorder="1" applyAlignment="1">
      <alignment horizontal="left"/>
    </xf>
    <xf numFmtId="0" fontId="9" fillId="8" borderId="15" xfId="3" applyFill="1" applyBorder="1" applyAlignment="1" applyProtection="1">
      <alignment horizontal="left"/>
    </xf>
    <xf numFmtId="0" fontId="10" fillId="8" borderId="15" xfId="0" applyFont="1" applyFill="1" applyBorder="1" applyAlignment="1">
      <alignment horizontal="left"/>
    </xf>
    <xf numFmtId="0" fontId="11" fillId="0" borderId="34" xfId="0" applyFont="1" applyBorder="1" applyAlignment="1">
      <alignment horizontal="center" wrapText="1"/>
    </xf>
    <xf numFmtId="0" fontId="11" fillId="0" borderId="7" xfId="0" applyFont="1" applyBorder="1" applyAlignment="1">
      <alignment horizontal="center" wrapText="1"/>
    </xf>
    <xf numFmtId="0" fontId="11" fillId="0" borderId="35" xfId="0" applyFont="1" applyBorder="1" applyAlignment="1">
      <alignment horizontal="center" wrapText="1"/>
    </xf>
    <xf numFmtId="0" fontId="11" fillId="2" borderId="34" xfId="0" applyFont="1" applyFill="1" applyBorder="1" applyAlignment="1">
      <alignment horizontal="center"/>
    </xf>
    <xf numFmtId="0" fontId="11" fillId="2" borderId="7" xfId="0" applyFont="1" applyFill="1" applyBorder="1" applyAlignment="1">
      <alignment horizontal="center"/>
    </xf>
    <xf numFmtId="0" fontId="11" fillId="2" borderId="35" xfId="0" applyFont="1" applyFill="1" applyBorder="1" applyAlignment="1">
      <alignment horizontal="center"/>
    </xf>
    <xf numFmtId="168" fontId="10" fillId="8" borderId="14" xfId="0" applyNumberFormat="1" applyFont="1" applyFill="1" applyBorder="1" applyAlignment="1">
      <alignment horizontal="center"/>
    </xf>
    <xf numFmtId="0" fontId="10" fillId="8" borderId="14" xfId="0" applyFont="1" applyFill="1" applyBorder="1" applyAlignment="1">
      <alignment horizontal="center"/>
    </xf>
    <xf numFmtId="0" fontId="9" fillId="8" borderId="15" xfId="3" applyFill="1" applyBorder="1" applyAlignment="1" applyProtection="1">
      <alignment horizontal="center"/>
    </xf>
    <xf numFmtId="0" fontId="10" fillId="8" borderId="15" xfId="0" applyFont="1" applyFill="1" applyBorder="1" applyAlignment="1">
      <alignment horizontal="center"/>
    </xf>
    <xf numFmtId="0" fontId="1" fillId="2" borderId="0" xfId="0" applyFont="1" applyFill="1" applyBorder="1" applyAlignment="1">
      <alignment horizontal="right" wrapText="1"/>
    </xf>
    <xf numFmtId="0" fontId="11" fillId="7" borderId="10" xfId="0" applyFont="1" applyFill="1" applyBorder="1" applyAlignment="1">
      <alignment horizontal="center"/>
    </xf>
    <xf numFmtId="0" fontId="10" fillId="7" borderId="1" xfId="0" applyFont="1" applyFill="1" applyBorder="1" applyAlignment="1"/>
    <xf numFmtId="0" fontId="10" fillId="7" borderId="17" xfId="0" applyFont="1" applyFill="1" applyBorder="1" applyAlignment="1"/>
    <xf numFmtId="0" fontId="11" fillId="2" borderId="11" xfId="0" applyFont="1" applyFill="1" applyBorder="1" applyAlignment="1">
      <alignment horizontal="center"/>
    </xf>
    <xf numFmtId="0" fontId="10" fillId="2" borderId="2" xfId="0" applyFont="1" applyFill="1" applyBorder="1" applyAlignment="1">
      <alignment horizontal="center"/>
    </xf>
    <xf numFmtId="0" fontId="10" fillId="2" borderId="18" xfId="0" applyFont="1" applyFill="1" applyBorder="1" applyAlignment="1">
      <alignment horizontal="center"/>
    </xf>
    <xf numFmtId="0" fontId="2" fillId="2" borderId="0" xfId="0" applyFont="1" applyFill="1" applyAlignment="1">
      <alignment horizontal="left" vertical="center" wrapText="1"/>
    </xf>
    <xf numFmtId="0" fontId="16" fillId="2" borderId="0" xfId="0" applyFont="1" applyFill="1" applyAlignment="1">
      <alignment horizontal="left" vertical="center" wrapText="1"/>
    </xf>
    <xf numFmtId="0" fontId="0" fillId="2" borderId="0" xfId="0" applyFill="1" applyAlignment="1">
      <alignment wrapText="1"/>
    </xf>
    <xf numFmtId="0" fontId="3" fillId="2" borderId="31" xfId="0" applyFont="1" applyFill="1" applyBorder="1" applyAlignment="1">
      <alignment horizontal="left"/>
    </xf>
    <xf numFmtId="165" fontId="10" fillId="8" borderId="24" xfId="1" applyNumberFormat="1" applyFont="1" applyFill="1" applyBorder="1" applyAlignment="1">
      <alignment horizontal="center"/>
    </xf>
    <xf numFmtId="165" fontId="10" fillId="8" borderId="14" xfId="1" applyNumberFormat="1" applyFont="1" applyFill="1" applyBorder="1" applyAlignment="1">
      <alignment horizontal="center"/>
    </xf>
    <xf numFmtId="165" fontId="10" fillId="8" borderId="6" xfId="1" applyNumberFormat="1" applyFont="1" applyFill="1" applyBorder="1" applyAlignment="1">
      <alignment horizontal="center"/>
    </xf>
    <xf numFmtId="0" fontId="11" fillId="7" borderId="11" xfId="0" applyFont="1" applyFill="1" applyBorder="1" applyAlignment="1">
      <alignment horizontal="center"/>
    </xf>
    <xf numFmtId="0" fontId="10" fillId="7" borderId="2" xfId="0" applyFont="1" applyFill="1" applyBorder="1" applyAlignment="1">
      <alignment horizontal="center"/>
    </xf>
    <xf numFmtId="0" fontId="10" fillId="7" borderId="18" xfId="0" applyFont="1" applyFill="1" applyBorder="1" applyAlignment="1">
      <alignment horizontal="center"/>
    </xf>
    <xf numFmtId="165" fontId="10" fillId="8" borderId="18" xfId="1" applyNumberFormat="1" applyFont="1" applyFill="1" applyBorder="1" applyAlignment="1">
      <alignment horizontal="center"/>
    </xf>
    <xf numFmtId="165" fontId="10" fillId="8" borderId="15" xfId="1" applyNumberFormat="1" applyFont="1" applyFill="1" applyBorder="1" applyAlignment="1">
      <alignment horizontal="center"/>
    </xf>
    <xf numFmtId="165" fontId="10" fillId="8" borderId="11" xfId="1" applyNumberFormat="1" applyFont="1" applyFill="1" applyBorder="1" applyAlignment="1">
      <alignment horizontal="center"/>
    </xf>
    <xf numFmtId="0" fontId="14" fillId="2" borderId="31" xfId="0" applyFont="1" applyFill="1" applyBorder="1" applyAlignment="1">
      <alignment horizontal="center"/>
    </xf>
    <xf numFmtId="165" fontId="10" fillId="8" borderId="17" xfId="1" applyNumberFormat="1" applyFont="1" applyFill="1" applyBorder="1" applyAlignment="1">
      <alignment horizontal="center"/>
    </xf>
    <xf numFmtId="165" fontId="10" fillId="8" borderId="20" xfId="1" applyNumberFormat="1" applyFont="1" applyFill="1" applyBorder="1" applyAlignment="1">
      <alignment horizontal="center"/>
    </xf>
    <xf numFmtId="165" fontId="10" fillId="8" borderId="10" xfId="1" applyNumberFormat="1" applyFont="1" applyFill="1" applyBorder="1" applyAlignment="1">
      <alignment horizontal="center"/>
    </xf>
  </cellXfs>
  <cellStyles count="5">
    <cellStyle name="Comma" xfId="1" builtinId="3"/>
    <cellStyle name="Currency" xfId="2" builtinId="4"/>
    <cellStyle name="Hyperlink" xfId="3" builtinId="8"/>
    <cellStyle name="Normal" xfId="0" builtinId="0"/>
    <cellStyle name="Percent" xfId="4"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xdr:col>
      <xdr:colOff>0</xdr:colOff>
      <xdr:row>33</xdr:row>
      <xdr:rowOff>1</xdr:rowOff>
    </xdr:from>
    <xdr:to>
      <xdr:col>8</xdr:col>
      <xdr:colOff>76200</xdr:colOff>
      <xdr:row>52</xdr:row>
      <xdr:rowOff>85726</xdr:rowOff>
    </xdr:to>
    <xdr:sp macro="" textlink="">
      <xdr:nvSpPr>
        <xdr:cNvPr id="3" name="TextBox 2"/>
        <xdr:cNvSpPr txBox="1"/>
      </xdr:nvSpPr>
      <xdr:spPr>
        <a:xfrm>
          <a:off x="209550" y="9725026"/>
          <a:ext cx="6791325" cy="3162300"/>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Tacoma Power developed  its 2014-2015 conservation targets using the utility analysis option as authorized in WAC 194-37-070(6)(a).  In 2013, Tacoma Power contracted with the </a:t>
          </a:r>
          <a:r>
            <a:rPr lang="en-US" sz="1100" baseline="0">
              <a:solidFill>
                <a:schemeClr val="dk1"/>
              </a:solidFill>
              <a:effectLst/>
              <a:latin typeface="+mn-lt"/>
              <a:ea typeface="+mn-ea"/>
              <a:cs typeface="+mn-cs"/>
            </a:rPr>
            <a:t>Cadmus Group to conduct a comprehensive  Conservation Potential Assessment (CPA) (available upon request) of the  economic and achievable potential of more than 3,186 conservation measures for the years 2014-2023.  Cadmus'  methodology used assumptions from Tacoma Power's 2013 Integrated Resource Planning (IRP) process and utilized standard industry practices consistent with the methods used by the Northwest Power and Conservation Council and WAC 194-37-070 (6) (a) (i) through (xv) to determine the potential for cost-effective and achievable conservation measures within our utility service territory.  The 2013 CPA identified 40.05 aMW of cost-effective and achievable conservation in Tacoma Power's  service territory for the years 2014-2023.  This represented an annual goal of 4.05 aMW.  A </a:t>
          </a:r>
          <a:r>
            <a:rPr lang="en-US" sz="1100">
              <a:solidFill>
                <a:schemeClr val="dk1"/>
              </a:solidFill>
              <a:effectLst/>
              <a:latin typeface="+mn-lt"/>
              <a:ea typeface="+mn-ea"/>
              <a:cs typeface="+mn-cs"/>
            </a:rPr>
            <a:t>public meeting was held November 13, 2013 and the Tacoma Public Utility Board approved the target with Resolution U-10667 in accordance with WAC 194-37-070(3)(d).  </a:t>
          </a:r>
          <a:endParaRPr lang="en-US">
            <a:effectLst/>
          </a:endParaRPr>
        </a:p>
        <a:p>
          <a:endParaRPr lang="en-US" sz="1100"/>
        </a:p>
      </xdr:txBody>
    </xdr:sp>
    <xdr:clientData/>
  </xdr:twoCellAnchor>
  <xdr:twoCellAnchor>
    <xdr:from>
      <xdr:col>6</xdr:col>
      <xdr:colOff>781050</xdr:colOff>
      <xdr:row>15</xdr:row>
      <xdr:rowOff>257175</xdr:rowOff>
    </xdr:from>
    <xdr:to>
      <xdr:col>7</xdr:col>
      <xdr:colOff>942975</xdr:colOff>
      <xdr:row>22</xdr:row>
      <xdr:rowOff>28575</xdr:rowOff>
    </xdr:to>
    <xdr:sp macro="" textlink="">
      <xdr:nvSpPr>
        <xdr:cNvPr id="4" name="TextBox 3"/>
        <xdr:cNvSpPr txBox="1"/>
      </xdr:nvSpPr>
      <xdr:spPr>
        <a:xfrm>
          <a:off x="5724525" y="3571875"/>
          <a:ext cx="1123950" cy="13049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i="1"/>
            <a:t>Note: Expenditure</a:t>
          </a:r>
          <a:r>
            <a:rPr lang="en-US" sz="1100" i="1" baseline="0"/>
            <a:t> amounts do not include any customer or other non-utility costs.</a:t>
          </a:r>
          <a:endParaRPr lang="en-US" sz="1100" i="1"/>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180974</xdr:colOff>
      <xdr:row>100</xdr:row>
      <xdr:rowOff>0</xdr:rowOff>
    </xdr:from>
    <xdr:to>
      <xdr:col>14</xdr:col>
      <xdr:colOff>609599</xdr:colOff>
      <xdr:row>112</xdr:row>
      <xdr:rowOff>152400</xdr:rowOff>
    </xdr:to>
    <xdr:sp macro="" textlink="">
      <xdr:nvSpPr>
        <xdr:cNvPr id="2" name="TextBox 1"/>
        <xdr:cNvSpPr txBox="1"/>
      </xdr:nvSpPr>
      <xdr:spPr>
        <a:xfrm>
          <a:off x="180974" y="20335875"/>
          <a:ext cx="11134725" cy="2209800"/>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solidFill>
                <a:schemeClr val="dk1"/>
              </a:solidFill>
              <a:effectLst/>
              <a:latin typeface="+mn-lt"/>
              <a:ea typeface="+mn-ea"/>
              <a:cs typeface="+mn-cs"/>
            </a:rPr>
            <a:t>The</a:t>
          </a:r>
          <a:r>
            <a:rPr lang="en-US" sz="1100" baseline="0">
              <a:solidFill>
                <a:schemeClr val="dk1"/>
              </a:solidFill>
              <a:effectLst/>
              <a:latin typeface="+mn-lt"/>
              <a:ea typeface="+mn-ea"/>
              <a:cs typeface="+mn-cs"/>
            </a:rPr>
            <a:t> percent of revenue requirement invested in renewables is calculated as the sum of cost of acquisition for incremental hydro (apprenticeship labor) and RECs divided by the budgeted 2015 revenue requirement.   The expenditures for incremental hydro is for apprenticeship labor only since Tacoma would have invested in incremental hydro improvements irrespective of I-937.  </a:t>
          </a:r>
          <a:r>
            <a:rPr lang="en-US" sz="1100">
              <a:solidFill>
                <a:schemeClr val="dk1"/>
              </a:solidFill>
              <a:effectLst/>
              <a:latin typeface="+mn-lt"/>
              <a:ea typeface="+mn-ea"/>
              <a:cs typeface="+mn-cs"/>
            </a:rPr>
            <a:t>Figures from Production Engineering conclude that incremental Apprenticeship Labor to achieve the 15% threshold for the Mossyrock rebuild was $886,000.  This number is reported in the Mossyrock Rebuild Apprentice and Journey Worker Project report (January 19, 2011).   The incremental Apprenticeship labor cost is amortized over 35 years at a 3.7% finance rate to determine the annual costs of $45,554 over the life of the facilities.  Estimates from Production Engineering concluded Apprenticeship Labor for the Cushman (North Fork power house) equaled $513,000.  This figure was reported in the NorthFork Apprenticeship Utilization report (October 31, 2013).  Using the same finance rate and a 50 year project life, the annual contribution to utility costs is $22,666.  The 3.7% finance rate was obtained from Rates, Planning and Analysis Section of Tacoma Power.</a:t>
          </a:r>
          <a:endParaRPr lang="en-US">
            <a:effectLst/>
          </a:endParaRPr>
        </a:p>
        <a:p>
          <a:r>
            <a:rPr lang="en-US" sz="1100" baseline="0">
              <a:solidFill>
                <a:schemeClr val="dk1"/>
              </a:solidFill>
              <a:effectLst/>
              <a:latin typeface="+mn-lt"/>
              <a:ea typeface="+mn-ea"/>
              <a:cs typeface="+mn-cs"/>
            </a:rPr>
            <a:t>The cost of BPA Tier-1 RECs is zero and all other RECs for 2015 (including 2014 rollover) are forecast to cost approximately $2.3M (incl. costs of RECs that will be carried forward to 2016).</a:t>
          </a:r>
          <a:endParaRPr lang="en-US">
            <a:effectLst/>
          </a:endParaRPr>
        </a:p>
        <a:p>
          <a:r>
            <a:rPr lang="en-US" sz="1100" baseline="0">
              <a:solidFill>
                <a:schemeClr val="dk1"/>
              </a:solidFill>
              <a:effectLst/>
              <a:latin typeface="+mn-lt"/>
              <a:ea typeface="+mn-ea"/>
              <a:cs typeface="+mn-cs"/>
            </a:rPr>
            <a:t>Total amount invested in renewable resources equal nearly $2,375,000.  The 2015 budgeted revenue requirement is  $329,828,796.  </a:t>
          </a:r>
          <a:endParaRPr lang="en-US">
            <a:effectLst/>
          </a:endParaRPr>
        </a:p>
      </xdr:txBody>
    </xdr:sp>
    <xdr:clientData/>
  </xdr:twoCellAnchor>
  <xdr:twoCellAnchor>
    <xdr:from>
      <xdr:col>0</xdr:col>
      <xdr:colOff>161925</xdr:colOff>
      <xdr:row>115</xdr:row>
      <xdr:rowOff>123825</xdr:rowOff>
    </xdr:from>
    <xdr:to>
      <xdr:col>14</xdr:col>
      <xdr:colOff>647701</xdr:colOff>
      <xdr:row>135</xdr:row>
      <xdr:rowOff>133350</xdr:rowOff>
    </xdr:to>
    <xdr:sp macro="" textlink="">
      <xdr:nvSpPr>
        <xdr:cNvPr id="3" name="TextBox 2"/>
        <xdr:cNvSpPr txBox="1"/>
      </xdr:nvSpPr>
      <xdr:spPr>
        <a:xfrm>
          <a:off x="161925" y="22802850"/>
          <a:ext cx="11620501" cy="3248025"/>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000" b="1">
              <a:solidFill>
                <a:schemeClr val="dk1"/>
              </a:solidFill>
              <a:effectLst/>
              <a:latin typeface="+mn-lt"/>
              <a:ea typeface="+mn-ea"/>
              <a:cs typeface="+mn-cs"/>
            </a:rPr>
            <a:t>Mossyrock:  </a:t>
          </a:r>
          <a:r>
            <a:rPr lang="en-US" sz="1000" b="0">
              <a:solidFill>
                <a:schemeClr val="dk1"/>
              </a:solidFill>
              <a:effectLst/>
              <a:latin typeface="+mn-lt"/>
              <a:ea typeface="+mn-ea"/>
              <a:cs typeface="+mn-cs"/>
            </a:rPr>
            <a:t>The Mossyrock incremental</a:t>
          </a:r>
          <a:r>
            <a:rPr lang="en-US" sz="1000" b="0" baseline="0">
              <a:solidFill>
                <a:schemeClr val="dk1"/>
              </a:solidFill>
              <a:effectLst/>
              <a:latin typeface="+mn-lt"/>
              <a:ea typeface="+mn-ea"/>
              <a:cs typeface="+mn-cs"/>
            </a:rPr>
            <a:t> hydro generation is based on improvements to </a:t>
          </a:r>
          <a:r>
            <a:rPr lang="en-US" sz="1000" b="0">
              <a:solidFill>
                <a:schemeClr val="dk1"/>
              </a:solidFill>
              <a:effectLst/>
              <a:latin typeface="+mn-lt"/>
              <a:ea typeface="+mn-ea"/>
              <a:cs typeface="+mn-cs"/>
            </a:rPr>
            <a:t>3 separate facilities within</a:t>
          </a:r>
          <a:r>
            <a:rPr lang="en-US" sz="1000" b="0" baseline="0">
              <a:solidFill>
                <a:schemeClr val="dk1"/>
              </a:solidFill>
              <a:effectLst/>
              <a:latin typeface="+mn-lt"/>
              <a:ea typeface="+mn-ea"/>
              <a:cs typeface="+mn-cs"/>
            </a:rPr>
            <a:t> the Cowlitz River Project.  All qualify for the 20% apprenticeship labor credit.</a:t>
          </a:r>
          <a:endParaRPr lang="en-US" sz="1000">
            <a:effectLst/>
          </a:endParaRPr>
        </a:p>
        <a:p>
          <a:r>
            <a:rPr lang="en-US" sz="1000" b="0" baseline="0">
              <a:solidFill>
                <a:schemeClr val="dk1"/>
              </a:solidFill>
              <a:effectLst/>
              <a:latin typeface="+mn-lt"/>
              <a:ea typeface="+mn-ea"/>
              <a:cs typeface="+mn-cs"/>
            </a:rPr>
            <a:t>- </a:t>
          </a:r>
          <a:r>
            <a:rPr lang="en-US" sz="1000" b="1" i="1" baseline="0">
              <a:solidFill>
                <a:schemeClr val="dk1"/>
              </a:solidFill>
              <a:effectLst/>
              <a:latin typeface="+mn-lt"/>
              <a:ea typeface="+mn-ea"/>
              <a:cs typeface="+mn-cs"/>
            </a:rPr>
            <a:t>Improved turbine </a:t>
          </a:r>
          <a:r>
            <a:rPr lang="en-US" sz="1000" b="0" baseline="0">
              <a:solidFill>
                <a:schemeClr val="dk1"/>
              </a:solidFill>
              <a:effectLst/>
              <a:latin typeface="+mn-lt"/>
              <a:ea typeface="+mn-ea"/>
              <a:cs typeface="+mn-cs"/>
            </a:rPr>
            <a:t>efficiency was calculated using the VISTA computer model based on "before" and "after" turbine production curves and 70 hydro years.  The average increase in annual production was 26,488MWhs.  This is a fixed number that does not change over time.</a:t>
          </a:r>
          <a:endParaRPr lang="en-US" sz="1000">
            <a:effectLst/>
          </a:endParaRPr>
        </a:p>
        <a:p>
          <a:r>
            <a:rPr lang="en-US" sz="1000" b="1" i="1" baseline="0">
              <a:solidFill>
                <a:schemeClr val="dk1"/>
              </a:solidFill>
              <a:effectLst/>
              <a:latin typeface="+mn-lt"/>
              <a:ea typeface="+mn-ea"/>
              <a:cs typeface="+mn-cs"/>
            </a:rPr>
            <a:t>- Improved Transformer</a:t>
          </a:r>
          <a:r>
            <a:rPr lang="en-US" sz="1000" b="0" baseline="0">
              <a:solidFill>
                <a:schemeClr val="dk1"/>
              </a:solidFill>
              <a:effectLst/>
              <a:latin typeface="+mn-lt"/>
              <a:ea typeface="+mn-ea"/>
              <a:cs typeface="+mn-cs"/>
            </a:rPr>
            <a:t> efficiency was calculated based on the difference in losses of the "new" v. "old" units due to inefficiencies.  The reduction in losses was calculated to be 270MWhs.  This is a fixed number that does not change .</a:t>
          </a:r>
          <a:endParaRPr lang="en-US" sz="1000">
            <a:effectLst/>
          </a:endParaRPr>
        </a:p>
        <a:p>
          <a:r>
            <a:rPr lang="en-US" sz="1000" b="1" i="1" baseline="0">
              <a:solidFill>
                <a:schemeClr val="dk1"/>
              </a:solidFill>
              <a:effectLst/>
              <a:latin typeface="+mn-lt"/>
              <a:ea typeface="+mn-ea"/>
              <a:cs typeface="+mn-cs"/>
            </a:rPr>
            <a:t>- Reduced Wicket Gate </a:t>
          </a:r>
          <a:r>
            <a:rPr lang="en-US" sz="1000" b="0" i="0" baseline="0">
              <a:solidFill>
                <a:schemeClr val="dk1"/>
              </a:solidFill>
              <a:effectLst/>
              <a:latin typeface="+mn-lt"/>
              <a:ea typeface="+mn-ea"/>
              <a:cs typeface="+mn-cs"/>
            </a:rPr>
            <a:t>leakage is calculated using "before" and "after" upgrade leakage rates , the amount of time the wicket gates are closed (i.e., the generator is turned off), and the elevation of Riffe lake.  This information is used to estimate the amount of saved water that is subsequently be used for generation.  The 20,000 MWh projection is based on historical calculations of the water saved and increased generation. </a:t>
          </a:r>
          <a:endParaRPr lang="en-US" sz="1000">
            <a:effectLst/>
          </a:endParaRPr>
        </a:p>
        <a:p>
          <a:r>
            <a:rPr lang="en-US" sz="1000" b="1">
              <a:solidFill>
                <a:schemeClr val="dk1"/>
              </a:solidFill>
              <a:effectLst/>
              <a:latin typeface="+mn-lt"/>
              <a:ea typeface="+mn-ea"/>
              <a:cs typeface="+mn-cs"/>
            </a:rPr>
            <a:t>Cushman:  </a:t>
          </a:r>
          <a:r>
            <a:rPr lang="en-US" sz="1000" b="0" baseline="0">
              <a:solidFill>
                <a:schemeClr val="dk1"/>
              </a:solidFill>
              <a:effectLst/>
              <a:latin typeface="+mn-lt"/>
              <a:ea typeface="+mn-ea"/>
              <a:cs typeface="+mn-cs"/>
            </a:rPr>
            <a:t>The Cushman incremental hydro generation is based on two improvements to the project.</a:t>
          </a:r>
          <a:endParaRPr lang="en-US" sz="1000">
            <a:effectLst/>
          </a:endParaRPr>
        </a:p>
        <a:p>
          <a:pPr eaLnBrk="1" fontAlgn="auto" latinLnBrk="0" hangingPunct="1"/>
          <a:r>
            <a:rPr lang="en-US" sz="1000" b="1" i="1" baseline="0">
              <a:solidFill>
                <a:schemeClr val="dk1"/>
              </a:solidFill>
              <a:effectLst/>
              <a:latin typeface="+mn-lt"/>
              <a:ea typeface="+mn-ea"/>
              <a:cs typeface="+mn-cs"/>
            </a:rPr>
            <a:t>- Reduced Butterfly Valve </a:t>
          </a:r>
          <a:r>
            <a:rPr lang="en-US" sz="1000" b="0" i="0" baseline="0">
              <a:solidFill>
                <a:schemeClr val="dk1"/>
              </a:solidFill>
              <a:effectLst/>
              <a:latin typeface="+mn-lt"/>
              <a:ea typeface="+mn-ea"/>
              <a:cs typeface="+mn-cs"/>
            </a:rPr>
            <a:t>leakage reduction work at Cushman No. 2 dam was completed in 2012.  The water saved water is used to generatr additional power.  The actual amount of incremental generation depends on the amount of time the butterfly valves are closed (i.e., the generator is turned off) and the  "before" and "after" leakage rates.  The overall increase in generation for 2015 is projected at 2000 MWhs. </a:t>
          </a:r>
          <a:endParaRPr lang="en-US" sz="1000">
            <a:effectLst/>
          </a:endParaRPr>
        </a:p>
        <a:p>
          <a:pPr eaLnBrk="1" fontAlgn="auto" latinLnBrk="0" hangingPunct="1"/>
          <a:r>
            <a:rPr lang="en-US" sz="1000" b="1" i="1" baseline="0">
              <a:solidFill>
                <a:schemeClr val="dk1"/>
              </a:solidFill>
              <a:effectLst/>
              <a:latin typeface="+mn-lt"/>
              <a:ea typeface="+mn-ea"/>
              <a:cs typeface="+mn-cs"/>
            </a:rPr>
            <a:t>- Cushman units 34 &amp; 35 </a:t>
          </a:r>
          <a:r>
            <a:rPr lang="en-US" sz="1000" b="0" i="0" baseline="0">
              <a:solidFill>
                <a:schemeClr val="dk1"/>
              </a:solidFill>
              <a:effectLst/>
              <a:latin typeface="+mn-lt"/>
              <a:ea typeface="+mn-ea"/>
              <a:cs typeface="+mn-cs"/>
            </a:rPr>
            <a:t>began generating incremental hydro electricity on February 1, 2013, using water released into  the lower Skookomish river as required by our FERC licence.  The output forecast for these units during calendar year 2015 is 19,200 (including the apprenticeship labor credit).  In a normal water year we would forecast approx. 21,000 MWh of generation, but due to low snowpack in 2015 we are forecasting 16,000 MWh.</a:t>
          </a:r>
          <a:endParaRPr lang="en-US" sz="1000">
            <a:effectLst/>
          </a:endParaRPr>
        </a:p>
        <a:p>
          <a:r>
            <a:rPr lang="en-US" sz="1000" b="1">
              <a:solidFill>
                <a:schemeClr val="dk1"/>
              </a:solidFill>
              <a:effectLst/>
              <a:latin typeface="+mn-lt"/>
              <a:ea typeface="+mn-ea"/>
              <a:cs typeface="+mn-cs"/>
            </a:rPr>
            <a:t>Lagrande Unit No. 6:</a:t>
          </a:r>
          <a:r>
            <a:rPr lang="en-US" sz="1000" b="0">
              <a:solidFill>
                <a:schemeClr val="dk1"/>
              </a:solidFill>
              <a:effectLst/>
              <a:latin typeface="+mn-lt"/>
              <a:ea typeface="+mn-ea"/>
              <a:cs typeface="+mn-cs"/>
            </a:rPr>
            <a:t>  3,300 MWh is a conservative figure based on historical production (e.g., 2013 production was</a:t>
          </a:r>
          <a:r>
            <a:rPr lang="en-US" sz="1000" b="0" baseline="0">
              <a:solidFill>
                <a:schemeClr val="dk1"/>
              </a:solidFill>
              <a:effectLst/>
              <a:latin typeface="+mn-lt"/>
              <a:ea typeface="+mn-ea"/>
              <a:cs typeface="+mn-cs"/>
            </a:rPr>
            <a:t> 3,464 MWhs)</a:t>
          </a:r>
          <a:r>
            <a:rPr lang="en-US" sz="1000" b="0">
              <a:solidFill>
                <a:schemeClr val="dk1"/>
              </a:solidFill>
              <a:effectLst/>
              <a:latin typeface="+mn-lt"/>
              <a:ea typeface="+mn-ea"/>
              <a:cs typeface="+mn-cs"/>
            </a:rPr>
            <a:t>.  </a:t>
          </a:r>
          <a:endParaRPr lang="en-US" sz="1000">
            <a:effectLst/>
          </a:endParaRPr>
        </a:p>
        <a:p>
          <a:r>
            <a:rPr lang="en-US" sz="1000" b="1">
              <a:solidFill>
                <a:schemeClr val="dk1"/>
              </a:solidFill>
              <a:effectLst/>
              <a:latin typeface="+mn-lt"/>
              <a:ea typeface="+mn-ea"/>
              <a:cs typeface="+mn-cs"/>
            </a:rPr>
            <a:t>Wanupum Development</a:t>
          </a:r>
          <a:r>
            <a:rPr lang="en-US" sz="1000" b="0">
              <a:solidFill>
                <a:schemeClr val="dk1"/>
              </a:solidFill>
              <a:effectLst/>
              <a:latin typeface="+mn-lt"/>
              <a:ea typeface="+mn-ea"/>
              <a:cs typeface="+mn-cs"/>
            </a:rPr>
            <a:t>:   2,000 MWhs is a conservative figure based on historical production (e.g., 2013 production was 3,442 MWhs).  </a:t>
          </a:r>
          <a:endParaRPr lang="en-US" sz="1000">
            <a:effectLst/>
          </a:endParaRPr>
        </a:p>
        <a:p>
          <a:r>
            <a:rPr lang="en-US" sz="1000" b="1">
              <a:solidFill>
                <a:schemeClr val="dk1"/>
              </a:solidFill>
              <a:effectLst/>
              <a:latin typeface="+mn-lt"/>
              <a:ea typeface="+mn-ea"/>
              <a:cs typeface="+mn-cs"/>
            </a:rPr>
            <a:t>BPA RECs</a:t>
          </a:r>
          <a:r>
            <a:rPr lang="en-US" sz="1000" b="0">
              <a:solidFill>
                <a:schemeClr val="dk1"/>
              </a:solidFill>
              <a:effectLst/>
              <a:latin typeface="+mn-lt"/>
              <a:ea typeface="+mn-ea"/>
              <a:cs typeface="+mn-cs"/>
            </a:rPr>
            <a:t>:  As a Tier-1 customer, TP receives a portion of the RECs from BPA's wind projects.  BPA's 2015 wind generation is based upon an estimate</a:t>
          </a:r>
          <a:r>
            <a:rPr lang="en-US" sz="1000" b="0" baseline="0">
              <a:solidFill>
                <a:schemeClr val="dk1"/>
              </a:solidFill>
              <a:effectLst/>
              <a:latin typeface="+mn-lt"/>
              <a:ea typeface="+mn-ea"/>
              <a:cs typeface="+mn-cs"/>
            </a:rPr>
            <a:t> we received from BPA and is </a:t>
          </a:r>
          <a:r>
            <a:rPr lang="en-US" sz="1000" b="0">
              <a:solidFill>
                <a:schemeClr val="dk1"/>
              </a:solidFill>
              <a:effectLst/>
              <a:latin typeface="+mn-lt"/>
              <a:ea typeface="+mn-ea"/>
              <a:cs typeface="+mn-cs"/>
            </a:rPr>
            <a:t>not significantly different than the number reported for 2014.</a:t>
          </a:r>
          <a:endParaRPr lang="en-US" sz="1000">
            <a:effectLst/>
          </a:endParaRPr>
        </a:p>
        <a:p>
          <a:pPr eaLnBrk="1" fontAlgn="auto" latinLnBrk="0" hangingPunct="1"/>
          <a:r>
            <a:rPr lang="en-US" sz="1000" b="1">
              <a:solidFill>
                <a:schemeClr val="dk1"/>
              </a:solidFill>
              <a:effectLst/>
              <a:latin typeface="+mn-lt"/>
              <a:ea typeface="+mn-ea"/>
              <a:cs typeface="+mn-cs"/>
            </a:rPr>
            <a:t>Total</a:t>
          </a:r>
          <a:r>
            <a:rPr lang="en-US" sz="1000" b="1" baseline="0">
              <a:solidFill>
                <a:schemeClr val="dk1"/>
              </a:solidFill>
              <a:effectLst/>
              <a:latin typeface="+mn-lt"/>
              <a:ea typeface="+mn-ea"/>
              <a:cs typeface="+mn-cs"/>
            </a:rPr>
            <a:t> of 2015 Incremental Hydro and Carryover RECs from 2014</a:t>
          </a:r>
          <a:r>
            <a:rPr lang="en-US" sz="1000" baseline="0">
              <a:solidFill>
                <a:schemeClr val="dk1"/>
              </a:solidFill>
              <a:effectLst/>
              <a:latin typeface="+mn-lt"/>
              <a:ea typeface="+mn-ea"/>
              <a:cs typeface="+mn-cs"/>
            </a:rPr>
            <a:t>:  Including the 20% apprenticeship labor credit , the forecast of total Incremental hydro for 2015 is 82,610 MWh. The carryover RECs from 2014 is  36,000 MWh. These two categories total  to 122,210 RECs.</a:t>
          </a:r>
          <a:endParaRPr lang="en-US" sz="1000">
            <a:effectLst/>
          </a:endParaRPr>
        </a:p>
        <a:p>
          <a:pPr eaLnBrk="1" fontAlgn="auto" latinLnBrk="0" hangingPunct="1"/>
          <a:r>
            <a:rPr lang="en-US" sz="1000" b="1">
              <a:solidFill>
                <a:schemeClr val="dk1"/>
              </a:solidFill>
              <a:effectLst/>
              <a:latin typeface="+mn-lt"/>
              <a:ea typeface="+mn-ea"/>
              <a:cs typeface="+mn-cs"/>
            </a:rPr>
            <a:t>2015</a:t>
          </a:r>
          <a:r>
            <a:rPr lang="en-US" sz="1000" b="1" baseline="0">
              <a:solidFill>
                <a:schemeClr val="dk1"/>
              </a:solidFill>
              <a:effectLst/>
              <a:latin typeface="+mn-lt"/>
              <a:ea typeface="+mn-ea"/>
              <a:cs typeface="+mn-cs"/>
            </a:rPr>
            <a:t> RECs</a:t>
          </a:r>
          <a:r>
            <a:rPr lang="en-US" sz="1000" baseline="0">
              <a:solidFill>
                <a:schemeClr val="dk1"/>
              </a:solidFill>
              <a:effectLst/>
              <a:latin typeface="+mn-lt"/>
              <a:ea typeface="+mn-ea"/>
              <a:cs typeface="+mn-cs"/>
            </a:rPr>
            <a:t>:  The BPA RECs for 2015 total 23,273 MWh.  The Iberdrola 2015 RECs totaled 69,000.  IWP totals 42,000.  Chelan RECs total  10,000.  These total to 144,273 MWh.</a:t>
          </a:r>
          <a:endParaRPr lang="en-US" sz="1000">
            <a:effectLst/>
          </a:endParaRPr>
        </a:p>
      </xdr:txBody>
    </xdr:sp>
    <xdr:clientData/>
  </xdr:twoCellAnchor>
  <xdr:twoCellAnchor>
    <xdr:from>
      <xdr:col>1</xdr:col>
      <xdr:colOff>19051</xdr:colOff>
      <xdr:row>20</xdr:row>
      <xdr:rowOff>152401</xdr:rowOff>
    </xdr:from>
    <xdr:to>
      <xdr:col>14</xdr:col>
      <xdr:colOff>514350</xdr:colOff>
      <xdr:row>33</xdr:row>
      <xdr:rowOff>66675</xdr:rowOff>
    </xdr:to>
    <xdr:sp macro="" textlink="">
      <xdr:nvSpPr>
        <xdr:cNvPr id="4" name="TextBox 3"/>
        <xdr:cNvSpPr txBox="1"/>
      </xdr:nvSpPr>
      <xdr:spPr>
        <a:xfrm>
          <a:off x="200026" y="4581526"/>
          <a:ext cx="11020424" cy="24669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lang="en-US" sz="1000" b="1">
              <a:solidFill>
                <a:schemeClr val="dk1"/>
              </a:solidFill>
              <a:effectLst/>
              <a:latin typeface="Arial" pitchFamily="34" charset="0"/>
              <a:ea typeface="+mn-ea"/>
              <a:cs typeface="Arial" pitchFamily="34" charset="0"/>
            </a:rPr>
            <a:t>2015 Reporting Year:</a:t>
          </a:r>
          <a:endParaRPr lang="en-US" sz="1000">
            <a:solidFill>
              <a:schemeClr val="dk1"/>
            </a:solidFill>
            <a:effectLst/>
            <a:latin typeface="Arial" pitchFamily="34" charset="0"/>
            <a:ea typeface="+mn-ea"/>
            <a:cs typeface="Arial" pitchFamily="34" charset="0"/>
          </a:endParaRPr>
        </a:p>
        <a:p>
          <a:pPr algn="l">
            <a:lnSpc>
              <a:spcPts val="1200"/>
            </a:lnSpc>
          </a:pPr>
          <a:r>
            <a:rPr lang="en-US" sz="1000">
              <a:solidFill>
                <a:schemeClr val="dk1"/>
              </a:solidFill>
              <a:effectLst/>
              <a:latin typeface="Arial" pitchFamily="34" charset="0"/>
              <a:ea typeface="+mn-ea"/>
              <a:cs typeface="Arial" pitchFamily="34" charset="0"/>
            </a:rPr>
            <a:t>This renewable energy report summarizes the eligible renewables resources and renewable energy credits (RECs) that the utility has acquired by January 1, 2015 for the purpose of meeting its Energy Independence Act (EIA) renewables target for 2015. The actual resources and RECs used to comply with the 2015 EIA target may vary from those reported here. Utilities will report in June of 2017 on the actual results for 2015.</a:t>
          </a:r>
        </a:p>
        <a:p>
          <a:pPr>
            <a:lnSpc>
              <a:spcPts val="1100"/>
            </a:lnSpc>
          </a:pPr>
          <a:endParaRPr lang="en-US" sz="1000" b="1">
            <a:solidFill>
              <a:schemeClr val="dk1"/>
            </a:solidFill>
            <a:effectLst/>
            <a:latin typeface="Arial" pitchFamily="34" charset="0"/>
            <a:ea typeface="+mn-ea"/>
            <a:cs typeface="Arial" pitchFamily="34" charset="0"/>
          </a:endParaRPr>
        </a:p>
        <a:p>
          <a:pPr>
            <a:lnSpc>
              <a:spcPts val="1100"/>
            </a:lnSpc>
          </a:pPr>
          <a:r>
            <a:rPr lang="en-US" sz="1000" b="1">
              <a:solidFill>
                <a:schemeClr val="dk1"/>
              </a:solidFill>
              <a:effectLst/>
              <a:latin typeface="Arial" pitchFamily="34" charset="0"/>
              <a:ea typeface="+mn-ea"/>
              <a:cs typeface="Arial" pitchFamily="34" charset="0"/>
            </a:rPr>
            <a:t>Compliance Methods: </a:t>
          </a: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The EIA provides three compliance methods for utilities:</a:t>
          </a:r>
        </a:p>
        <a:p>
          <a:pPr lvl="0">
            <a:lnSpc>
              <a:spcPts val="1100"/>
            </a:lnSpc>
          </a:pPr>
          <a:r>
            <a:rPr lang="en-US" sz="1000">
              <a:solidFill>
                <a:schemeClr val="dk1"/>
              </a:solidFill>
              <a:effectLst/>
              <a:latin typeface="Arial" pitchFamily="34" charset="0"/>
              <a:ea typeface="+mn-ea"/>
              <a:cs typeface="Arial" pitchFamily="34" charset="0"/>
            </a:rPr>
            <a:t>-- Meet the renewable energy target using any combination of renewable resources and RECs. The target for 2015 is 3% of the utility’s load</a:t>
          </a:r>
        </a:p>
        <a:p>
          <a:pPr lvl="0">
            <a:lnSpc>
              <a:spcPts val="1100"/>
            </a:lnSpc>
          </a:pPr>
          <a:r>
            <a:rPr lang="en-US" sz="1000">
              <a:solidFill>
                <a:schemeClr val="dk1"/>
              </a:solidFill>
              <a:effectLst/>
              <a:latin typeface="Arial" pitchFamily="34" charset="0"/>
              <a:ea typeface="+mn-ea"/>
              <a:cs typeface="Arial" pitchFamily="34" charset="0"/>
            </a:rPr>
            <a:t>-- Invest at least 4% of the utility’s annual revenue requirement in the incremental cost of renewable resources and RECs.</a:t>
          </a:r>
        </a:p>
        <a:p>
          <a:pPr lvl="0">
            <a:lnSpc>
              <a:spcPts val="1200"/>
            </a:lnSpc>
          </a:pPr>
          <a:r>
            <a:rPr lang="en-US" sz="1000">
              <a:solidFill>
                <a:schemeClr val="dk1"/>
              </a:solidFill>
              <a:effectLst/>
              <a:latin typeface="Arial" pitchFamily="34" charset="0"/>
              <a:ea typeface="+mn-ea"/>
              <a:cs typeface="Arial" pitchFamily="34" charset="0"/>
            </a:rPr>
            <a:t>-- Invest at least 1% of its annual revenue requirement in renewable resources and RECs. This option is available</a:t>
          </a:r>
          <a:r>
            <a:rPr lang="en-US" sz="1000" baseline="0">
              <a:solidFill>
                <a:schemeClr val="dk1"/>
              </a:solidFill>
              <a:effectLst/>
              <a:latin typeface="Arial" pitchFamily="34" charset="0"/>
              <a:ea typeface="+mn-ea"/>
              <a:cs typeface="Arial" pitchFamily="34" charset="0"/>
            </a:rPr>
            <a:t> </a:t>
          </a:r>
          <a:r>
            <a:rPr lang="en-US" sz="1000">
              <a:solidFill>
                <a:schemeClr val="dk1"/>
              </a:solidFill>
              <a:effectLst/>
              <a:latin typeface="Arial" pitchFamily="34" charset="0"/>
              <a:ea typeface="+mn-ea"/>
              <a:cs typeface="Arial" pitchFamily="34" charset="0"/>
            </a:rPr>
            <a:t>only to certain utilities that are not growing.</a:t>
          </a:r>
        </a:p>
        <a:p>
          <a:pPr>
            <a:lnSpc>
              <a:spcPts val="1100"/>
            </a:lnSpc>
          </a:pP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All utilities must report the renewable resources and RECs acquired for the 2015 target year. Utilities that elect to use a compliance method based on renewable investments must provide additional information demonstrating compliance with that method. </a:t>
          </a:r>
        </a:p>
        <a:p>
          <a:pPr>
            <a:lnSpc>
              <a:spcPts val="1200"/>
            </a:lnSpc>
          </a:pPr>
          <a:endParaRPr lang="en-US" sz="1000" i="1">
            <a:solidFill>
              <a:schemeClr val="dk1"/>
            </a:solidFill>
            <a:effectLst/>
            <a:latin typeface="Arial" pitchFamily="34" charset="0"/>
            <a:ea typeface="+mn-ea"/>
            <a:cs typeface="Arial" pitchFamily="34" charset="0"/>
          </a:endParaRPr>
        </a:p>
        <a:p>
          <a:pPr>
            <a:lnSpc>
              <a:spcPts val="1200"/>
            </a:lnSpc>
          </a:pPr>
          <a:r>
            <a:rPr lang="en-US" sz="1000" i="1">
              <a:solidFill>
                <a:schemeClr val="dk1"/>
              </a:solidFill>
              <a:effectLst/>
              <a:latin typeface="Arial" pitchFamily="34" charset="0"/>
              <a:ea typeface="+mn-ea"/>
              <a:cs typeface="Arial" pitchFamily="34" charset="0"/>
            </a:rPr>
            <a:t>NOTE: This is a general explanation of the renewable energy requirements of the Energy Independence Act, intended to help members of the public understand the information reported by the utility. Consult Chapter 19.285 RCW and Chapter 194-37 WAC for details.</a:t>
          </a:r>
          <a:endParaRPr lang="en-US" sz="1000">
            <a:solidFill>
              <a:schemeClr val="dk1"/>
            </a:solidFill>
            <a:effectLst/>
            <a:latin typeface="Arial" pitchFamily="34" charset="0"/>
            <a:ea typeface="+mn-ea"/>
            <a:cs typeface="Arial" pitchFamily="34" charset="0"/>
          </a:endParaRPr>
        </a:p>
        <a:p>
          <a:pPr>
            <a:lnSpc>
              <a:spcPts val="1000"/>
            </a:lnSpc>
          </a:pPr>
          <a:r>
            <a:rPr lang="en-US" sz="1000">
              <a:effectLst/>
              <a:latin typeface="Arial" pitchFamily="34" charset="0"/>
              <a:cs typeface="Arial" pitchFamily="34" charset="0"/>
            </a:rPr>
            <a:t/>
          </a:r>
          <a:br>
            <a:rPr lang="en-US" sz="1000">
              <a:effectLst/>
              <a:latin typeface="Arial" pitchFamily="34" charset="0"/>
              <a:cs typeface="Arial" pitchFamily="34" charset="0"/>
            </a:rPr>
          </a:br>
          <a:endParaRPr lang="en-US" sz="1000">
            <a:latin typeface="Arial" pitchFamily="34" charset="0"/>
            <a:cs typeface="Arial" pitchFamily="34" charset="0"/>
          </a:endParaRPr>
        </a:p>
      </xdr:txBody>
    </xdr:sp>
    <xdr:clientData/>
  </xdr:twoCellAnchor>
  <mc:AlternateContent xmlns:mc="http://schemas.openxmlformats.org/markup-compatibility/2006">
    <mc:Choice xmlns:a14="http://schemas.microsoft.com/office/drawing/2010/main" Requires="a14">
      <xdr:twoCellAnchor>
        <xdr:from>
          <xdr:col>2</xdr:col>
          <xdr:colOff>22860</xdr:colOff>
          <xdr:row>8</xdr:row>
          <xdr:rowOff>7620</xdr:rowOff>
        </xdr:from>
        <xdr:to>
          <xdr:col>4</xdr:col>
          <xdr:colOff>571500</xdr:colOff>
          <xdr:row>9</xdr:row>
          <xdr:rowOff>22860</xdr:rowOff>
        </xdr:to>
        <xdr:sp macro="" textlink="">
          <xdr:nvSpPr>
            <xdr:cNvPr id="5448" name="Check Box 328" hidden="1">
              <a:extLst>
                <a:ext uri="{63B3BB69-23CF-44E3-9099-C40C66FF867C}">
                  <a14:compatExt spid="_x0000_s5448"/>
                </a:ext>
              </a:extLst>
            </xdr:cNvPr>
            <xdr:cNvSpPr/>
          </xdr:nvSpPr>
          <xdr:spPr>
            <a:xfrm>
              <a:off x="0" y="0"/>
              <a:ext cx="0" cy="0"/>
            </a:xfrm>
            <a:prstGeom prst="rect">
              <a:avLst/>
            </a:prstGeom>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RPS Target [RCW 19.285.040(2)(a)]</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22860</xdr:colOff>
          <xdr:row>9</xdr:row>
          <xdr:rowOff>30480</xdr:rowOff>
        </xdr:from>
        <xdr:to>
          <xdr:col>5</xdr:col>
          <xdr:colOff>0</xdr:colOff>
          <xdr:row>10</xdr:row>
          <xdr:rowOff>30480</xdr:rowOff>
        </xdr:to>
        <xdr:sp macro="" textlink="">
          <xdr:nvSpPr>
            <xdr:cNvPr id="5449" name="Check Box 329" hidden="1">
              <a:extLst>
                <a:ext uri="{63B3BB69-23CF-44E3-9099-C40C66FF867C}">
                  <a14:compatExt spid="_x0000_s5449"/>
                </a:ext>
              </a:extLst>
            </xdr:cNvPr>
            <xdr:cNvSpPr/>
          </xdr:nvSpPr>
          <xdr:spPr>
            <a:xfrm>
              <a:off x="0" y="0"/>
              <a:ext cx="0" cy="0"/>
            </a:xfrm>
            <a:prstGeom prst="rect">
              <a:avLst/>
            </a:prstGeom>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Resource Cost [RCW 19.285.050]</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22860</xdr:colOff>
          <xdr:row>10</xdr:row>
          <xdr:rowOff>68580</xdr:rowOff>
        </xdr:from>
        <xdr:to>
          <xdr:col>5</xdr:col>
          <xdr:colOff>114300</xdr:colOff>
          <xdr:row>11</xdr:row>
          <xdr:rowOff>7620</xdr:rowOff>
        </xdr:to>
        <xdr:sp macro="" textlink="">
          <xdr:nvSpPr>
            <xdr:cNvPr id="5450" name="Check Box 330" hidden="1">
              <a:extLst>
                <a:ext uri="{63B3BB69-23CF-44E3-9099-C40C66FF867C}">
                  <a14:compatExt spid="_x0000_s5450"/>
                </a:ext>
              </a:extLst>
            </xdr:cNvPr>
            <xdr:cNvSpPr/>
          </xdr:nvSpPr>
          <xdr:spPr>
            <a:xfrm>
              <a:off x="0" y="0"/>
              <a:ext cx="0" cy="0"/>
            </a:xfrm>
            <a:prstGeom prst="rect">
              <a:avLst/>
            </a:prstGeom>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No Load Growth [RCW 19.285.040(2)(d)]</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171450</xdr:colOff>
      <xdr:row>63</xdr:row>
      <xdr:rowOff>114300</xdr:rowOff>
    </xdr:from>
    <xdr:to>
      <xdr:col>11</xdr:col>
      <xdr:colOff>1095375</xdr:colOff>
      <xdr:row>71</xdr:row>
      <xdr:rowOff>76200</xdr:rowOff>
    </xdr:to>
    <xdr:sp macro="" textlink="">
      <xdr:nvSpPr>
        <xdr:cNvPr id="2" name="TextBox 1"/>
        <xdr:cNvSpPr txBox="1"/>
      </xdr:nvSpPr>
      <xdr:spPr>
        <a:xfrm>
          <a:off x="171450" y="12877800"/>
          <a:ext cx="10306050" cy="1371600"/>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solidFill>
                <a:schemeClr val="dk1"/>
              </a:solidFill>
              <a:effectLst/>
              <a:latin typeface="+mn-lt"/>
              <a:ea typeface="+mn-ea"/>
              <a:cs typeface="+mn-cs"/>
            </a:rPr>
            <a:t>Incremental costs for Tacoma's</a:t>
          </a:r>
          <a:r>
            <a:rPr lang="en-US" sz="1100" baseline="0">
              <a:solidFill>
                <a:schemeClr val="dk1"/>
              </a:solidFill>
              <a:effectLst/>
              <a:latin typeface="+mn-lt"/>
              <a:ea typeface="+mn-ea"/>
              <a:cs typeface="+mn-cs"/>
            </a:rPr>
            <a:t> incremental hydro equals $68,220 wich consists of amortization of apprenticeship labor costs over the life of the projects (see notes on prior tab).  The Mossyrock apprenticeship labor costs have been assigned to the efficiency improvements, however are associated with all three upgrades.</a:t>
          </a:r>
          <a:endParaRPr lang="en-US">
            <a:effectLst/>
          </a:endParaRPr>
        </a:p>
        <a:p>
          <a:r>
            <a:rPr lang="en-US" sz="1100">
              <a:solidFill>
                <a:schemeClr val="dk1"/>
              </a:solidFill>
              <a:effectLst/>
              <a:latin typeface="+mn-lt"/>
              <a:ea typeface="+mn-ea"/>
              <a:cs typeface="+mn-cs"/>
            </a:rPr>
            <a:t>Tacoma will be receiving additional RECs</a:t>
          </a:r>
          <a:r>
            <a:rPr lang="en-US" sz="1100" baseline="0">
              <a:solidFill>
                <a:schemeClr val="dk1"/>
              </a:solidFill>
              <a:effectLst/>
              <a:latin typeface="+mn-lt"/>
              <a:ea typeface="+mn-ea"/>
              <a:cs typeface="+mn-cs"/>
            </a:rPr>
            <a:t> from two purchased contracts in 2015: Idaho WInd Partners (IWP) and Chelan PUD.  We estimate that the REC production for 2015 for these contracts will be 42,000 MWHs and 10,000MWHs respectively and cost an additional $233,000. The total 2015 REC costs (Iberdrola + IWP + Chelan) is $2,306,750.  The projected 2015 total expenditures on renewable resources is $2,375,000.  NOTE - $2.375M includes the value of RECs that will be carried forward to 2016  compliance.  The cost of the RECs that are forecast to be carried forward to 2016 are estimated at $1.6M (119,400 RECs @ $13).</a:t>
          </a:r>
          <a:endParaRPr lang="en-US">
            <a:effectLst/>
          </a:endParaRPr>
        </a:p>
        <a:p>
          <a:endParaRPr 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commerce.wa.gov/Documents/EIA_2014%20ReportWorkbook_DRAFT%203-27-20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servation Report"/>
      <sheetName val="Renewables Report"/>
    </sheetNames>
    <sheetDataSet>
      <sheetData sheetId="0" refreshError="1"/>
      <sheetData sheetId="1">
        <row r="3">
          <cell r="C3" t="str">
            <v>Utility Name</v>
          </cell>
        </row>
      </sheetData>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7" Type="http://schemas.openxmlformats.org/officeDocument/2006/relationships/ctrlProp" Target="../ctrlProps/ctrlProp3.xml"/><Relationship Id="rId2" Type="http://schemas.openxmlformats.org/officeDocument/2006/relationships/printerSettings" Target="../printerSettings/printerSettings4.bin"/><Relationship Id="rId1" Type="http://schemas.openxmlformats.org/officeDocument/2006/relationships/hyperlink" Target="mailto:bdickens@cityoftacoma.org" TargetMode="External"/><Relationship Id="rId6" Type="http://schemas.openxmlformats.org/officeDocument/2006/relationships/ctrlProp" Target="../ctrlProps/ctrlProp2.xml"/><Relationship Id="rId5" Type="http://schemas.openxmlformats.org/officeDocument/2006/relationships/ctrlProp" Target="../ctrlProps/ctrlProp1.xml"/><Relationship Id="rId4"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N57"/>
  <sheetViews>
    <sheetView workbookViewId="0"/>
  </sheetViews>
  <sheetFormatPr defaultRowHeight="14.4" x14ac:dyDescent="0.3"/>
  <cols>
    <col min="1" max="1" width="135.109375" customWidth="1"/>
    <col min="14" max="14" width="11.6640625" customWidth="1"/>
  </cols>
  <sheetData>
    <row r="1" spans="1:14" ht="18.75" x14ac:dyDescent="0.25">
      <c r="A1" s="75" t="s">
        <v>107</v>
      </c>
    </row>
    <row r="2" spans="1:14" ht="15" x14ac:dyDescent="0.25">
      <c r="A2" s="92" t="s">
        <v>119</v>
      </c>
    </row>
    <row r="3" spans="1:14" ht="15" x14ac:dyDescent="0.25">
      <c r="A3" s="76"/>
      <c r="N3" s="91"/>
    </row>
    <row r="4" spans="1:14" ht="15" x14ac:dyDescent="0.25">
      <c r="A4" s="77" t="s">
        <v>120</v>
      </c>
    </row>
    <row r="5" spans="1:14" ht="15" x14ac:dyDescent="0.25">
      <c r="A5" s="77" t="s">
        <v>189</v>
      </c>
      <c r="N5">
        <f>IF(REN_Load_2013+REN_Load_2014&gt;0,AVERAGE(REN_Load_2013,REN_Load_2014),0)</f>
        <v>4783348.5</v>
      </c>
    </row>
    <row r="6" spans="1:14" ht="15" x14ac:dyDescent="0.25">
      <c r="A6" s="78" t="s">
        <v>108</v>
      </c>
    </row>
    <row r="7" spans="1:14" ht="15" x14ac:dyDescent="0.25">
      <c r="A7" s="76"/>
    </row>
    <row r="8" spans="1:14" ht="55.2" x14ac:dyDescent="0.3">
      <c r="A8" s="79" t="s">
        <v>178</v>
      </c>
    </row>
    <row r="9" spans="1:14" ht="15" x14ac:dyDescent="0.25">
      <c r="A9" s="79"/>
    </row>
    <row r="10" spans="1:14" ht="15" x14ac:dyDescent="0.25">
      <c r="A10" s="80" t="s">
        <v>179</v>
      </c>
    </row>
    <row r="11" spans="1:14" ht="15" x14ac:dyDescent="0.25">
      <c r="A11" s="80"/>
    </row>
    <row r="12" spans="1:14" ht="15" x14ac:dyDescent="0.25">
      <c r="A12" s="151" t="s">
        <v>180</v>
      </c>
    </row>
    <row r="13" spans="1:14" ht="15" x14ac:dyDescent="0.25">
      <c r="A13" s="152" t="s">
        <v>181</v>
      </c>
    </row>
    <row r="14" spans="1:14" ht="44.25" x14ac:dyDescent="0.25">
      <c r="A14" s="81" t="s">
        <v>182</v>
      </c>
    </row>
    <row r="15" spans="1:14" x14ac:dyDescent="0.3">
      <c r="A15" s="76"/>
    </row>
    <row r="16" spans="1:14" ht="27.6" x14ac:dyDescent="0.3">
      <c r="A16" s="78" t="s">
        <v>109</v>
      </c>
    </row>
    <row r="17" spans="1:1" x14ac:dyDescent="0.3">
      <c r="A17" s="76"/>
    </row>
    <row r="18" spans="1:1" ht="17.399999999999999" x14ac:dyDescent="0.3">
      <c r="A18" s="82" t="s">
        <v>110</v>
      </c>
    </row>
    <row r="19" spans="1:1" ht="57.75" customHeight="1" x14ac:dyDescent="0.3">
      <c r="A19" s="77" t="s">
        <v>123</v>
      </c>
    </row>
    <row r="20" spans="1:1" x14ac:dyDescent="0.3">
      <c r="A20" s="76"/>
    </row>
    <row r="21" spans="1:1" x14ac:dyDescent="0.3">
      <c r="A21" s="83" t="s">
        <v>111</v>
      </c>
    </row>
    <row r="22" spans="1:1" ht="28.8" x14ac:dyDescent="0.3">
      <c r="A22" s="84" t="s">
        <v>157</v>
      </c>
    </row>
    <row r="23" spans="1:1" x14ac:dyDescent="0.3">
      <c r="A23" s="76"/>
    </row>
    <row r="24" spans="1:1" ht="41.4" x14ac:dyDescent="0.3">
      <c r="A24" s="77" t="s">
        <v>158</v>
      </c>
    </row>
    <row r="25" spans="1:1" x14ac:dyDescent="0.3">
      <c r="A25" s="85"/>
    </row>
    <row r="26" spans="1:1" ht="41.4" x14ac:dyDescent="0.3">
      <c r="A26" s="81" t="s">
        <v>112</v>
      </c>
    </row>
    <row r="27" spans="1:1" x14ac:dyDescent="0.3">
      <c r="A27" s="76"/>
    </row>
    <row r="28" spans="1:1" ht="41.4" x14ac:dyDescent="0.3">
      <c r="A28" s="78" t="s">
        <v>183</v>
      </c>
    </row>
    <row r="29" spans="1:1" x14ac:dyDescent="0.3">
      <c r="A29" s="76"/>
    </row>
    <row r="30" spans="1:1" x14ac:dyDescent="0.3">
      <c r="A30" s="78" t="s">
        <v>184</v>
      </c>
    </row>
    <row r="31" spans="1:1" x14ac:dyDescent="0.3">
      <c r="A31" s="76"/>
    </row>
    <row r="32" spans="1:1" ht="17.399999999999999" x14ac:dyDescent="0.3">
      <c r="A32" s="82" t="s">
        <v>113</v>
      </c>
    </row>
    <row r="33" spans="1:1" ht="27.6" x14ac:dyDescent="0.3">
      <c r="A33" s="81" t="s">
        <v>114</v>
      </c>
    </row>
    <row r="34" spans="1:1" x14ac:dyDescent="0.3">
      <c r="A34" s="76"/>
    </row>
    <row r="35" spans="1:1" ht="41.4" x14ac:dyDescent="0.3">
      <c r="A35" s="78" t="s">
        <v>185</v>
      </c>
    </row>
    <row r="36" spans="1:1" x14ac:dyDescent="0.3">
      <c r="A36" s="76"/>
    </row>
    <row r="37" spans="1:1" ht="41.4" x14ac:dyDescent="0.3">
      <c r="A37" s="78" t="s">
        <v>115</v>
      </c>
    </row>
    <row r="38" spans="1:1" x14ac:dyDescent="0.3">
      <c r="A38" s="76"/>
    </row>
    <row r="39" spans="1:1" ht="27.6" x14ac:dyDescent="0.3">
      <c r="A39" s="78" t="s">
        <v>186</v>
      </c>
    </row>
    <row r="40" spans="1:1" x14ac:dyDescent="0.3">
      <c r="A40" s="76"/>
    </row>
    <row r="41" spans="1:1" x14ac:dyDescent="0.3">
      <c r="A41" s="77" t="s">
        <v>159</v>
      </c>
    </row>
    <row r="42" spans="1:1" ht="27.6" x14ac:dyDescent="0.3">
      <c r="A42" s="81" t="s">
        <v>161</v>
      </c>
    </row>
    <row r="43" spans="1:1" ht="41.4" x14ac:dyDescent="0.3">
      <c r="A43" s="81" t="s">
        <v>160</v>
      </c>
    </row>
    <row r="44" spans="1:1" x14ac:dyDescent="0.3">
      <c r="A44" s="76"/>
    </row>
    <row r="45" spans="1:1" ht="55.2" x14ac:dyDescent="0.3">
      <c r="A45" s="86" t="s">
        <v>187</v>
      </c>
    </row>
    <row r="46" spans="1:1" x14ac:dyDescent="0.3">
      <c r="A46" s="76"/>
    </row>
    <row r="47" spans="1:1" ht="74.25" customHeight="1" x14ac:dyDescent="0.3">
      <c r="A47" s="78" t="s">
        <v>188</v>
      </c>
    </row>
    <row r="48" spans="1:1" x14ac:dyDescent="0.3">
      <c r="A48" s="76"/>
    </row>
    <row r="49" spans="1:1" ht="55.2" x14ac:dyDescent="0.3">
      <c r="A49" s="78" t="s">
        <v>162</v>
      </c>
    </row>
    <row r="50" spans="1:1" x14ac:dyDescent="0.3">
      <c r="A50" s="76"/>
    </row>
    <row r="51" spans="1:1" x14ac:dyDescent="0.3">
      <c r="A51" s="77" t="s">
        <v>116</v>
      </c>
    </row>
    <row r="52" spans="1:1" ht="27.6" x14ac:dyDescent="0.3">
      <c r="A52" s="81" t="s">
        <v>163</v>
      </c>
    </row>
    <row r="53" spans="1:1" x14ac:dyDescent="0.3">
      <c r="A53" s="76"/>
    </row>
    <row r="54" spans="1:1" x14ac:dyDescent="0.3">
      <c r="A54" s="77" t="s">
        <v>117</v>
      </c>
    </row>
    <row r="55" spans="1:1" ht="27.6" x14ac:dyDescent="0.3">
      <c r="A55" s="81" t="s">
        <v>164</v>
      </c>
    </row>
    <row r="56" spans="1:1" x14ac:dyDescent="0.3">
      <c r="A56" s="76"/>
    </row>
    <row r="57" spans="1:1" ht="15" thickBot="1" x14ac:dyDescent="0.35">
      <c r="A57" s="87" t="s">
        <v>118</v>
      </c>
    </row>
  </sheetData>
  <pageMargins left="0.7" right="0.7" top="0.75" bottom="0.75" header="0.3" footer="0.3"/>
  <pageSetup scale="9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N7"/>
  <sheetViews>
    <sheetView workbookViewId="0">
      <selection activeCell="N7" sqref="N7"/>
    </sheetView>
  </sheetViews>
  <sheetFormatPr defaultRowHeight="14.4" x14ac:dyDescent="0.3"/>
  <cols>
    <col min="1" max="1" width="107" customWidth="1"/>
    <col min="14" max="14" width="11.6640625" customWidth="1"/>
  </cols>
  <sheetData>
    <row r="1" spans="1:14" ht="17.399999999999999" x14ac:dyDescent="0.3">
      <c r="A1" s="71" t="s">
        <v>190</v>
      </c>
    </row>
    <row r="2" spans="1:14" ht="18.75" x14ac:dyDescent="0.25">
      <c r="A2" s="72"/>
    </row>
    <row r="3" spans="1:14" ht="57" x14ac:dyDescent="0.25">
      <c r="A3" s="73" t="s">
        <v>191</v>
      </c>
      <c r="N3" s="91"/>
    </row>
    <row r="4" spans="1:14" ht="15" x14ac:dyDescent="0.25">
      <c r="A4" s="73"/>
      <c r="N4" s="91"/>
    </row>
    <row r="5" spans="1:14" ht="86.25" x14ac:dyDescent="0.25">
      <c r="A5" s="73" t="s">
        <v>122</v>
      </c>
      <c r="N5" s="91"/>
    </row>
    <row r="6" spans="1:14" ht="15" x14ac:dyDescent="0.25">
      <c r="A6" s="73"/>
    </row>
    <row r="7" spans="1:14" ht="29.25" thickBot="1" x14ac:dyDescent="0.3">
      <c r="A7" s="74" t="s">
        <v>121</v>
      </c>
      <c r="N7">
        <f>IF(REN_Load_2013+REN_Load_2014&gt;0,AVERAGE(REN_Load_2013,REN_Load_2014),0)</f>
        <v>4783348.5</v>
      </c>
    </row>
  </sheetData>
  <pageMargins left="0.7" right="0.7" top="0.75" bottom="0.75" header="0.3" footer="0.3"/>
  <pageSetup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6"/>
    <pageSetUpPr fitToPage="1"/>
  </sheetPr>
  <dimension ref="A1:M33"/>
  <sheetViews>
    <sheetView zoomScaleNormal="100" workbookViewId="0">
      <selection activeCell="C17" sqref="C17"/>
    </sheetView>
  </sheetViews>
  <sheetFormatPr defaultColWidth="9.109375" defaultRowHeight="13.2" x14ac:dyDescent="0.25"/>
  <cols>
    <col min="1" max="1" width="3.109375" style="1" customWidth="1"/>
    <col min="2" max="3" width="16.6640625" style="1" customWidth="1"/>
    <col min="4" max="4" width="17.109375" style="1" customWidth="1"/>
    <col min="5" max="5" width="16" style="1" customWidth="1"/>
    <col min="6" max="6" width="4.44140625" style="1" customWidth="1"/>
    <col min="7" max="7" width="14.44140625" style="1" customWidth="1"/>
    <col min="8" max="8" width="15.33203125" style="1" customWidth="1"/>
    <col min="9" max="9" width="12.33203125" style="1" customWidth="1"/>
    <col min="10" max="10" width="11.109375" style="1" customWidth="1"/>
    <col min="11" max="12" width="9.109375" style="1"/>
    <col min="13" max="13" width="11.6640625" style="1" customWidth="1"/>
    <col min="14" max="16384" width="9.109375" style="1"/>
  </cols>
  <sheetData>
    <row r="1" spans="1:13" s="7" customFormat="1" ht="19.5" x14ac:dyDescent="0.4">
      <c r="B1" s="57" t="s">
        <v>125</v>
      </c>
    </row>
    <row r="2" spans="1:13" ht="15" customHeight="1" x14ac:dyDescent="0.2">
      <c r="B2" s="2"/>
    </row>
    <row r="3" spans="1:13" ht="14.25" customHeight="1" x14ac:dyDescent="0.2">
      <c r="B3" s="3" t="s">
        <v>4</v>
      </c>
      <c r="C3" s="175" t="s">
        <v>197</v>
      </c>
      <c r="D3" s="175"/>
      <c r="E3" s="175"/>
      <c r="M3" s="90"/>
    </row>
    <row r="4" spans="1:13" ht="15" customHeight="1" x14ac:dyDescent="0.2">
      <c r="B4" s="4" t="s">
        <v>65</v>
      </c>
      <c r="C4" s="176">
        <v>42153</v>
      </c>
      <c r="D4" s="177"/>
      <c r="E4" s="177"/>
      <c r="F4" s="13"/>
    </row>
    <row r="5" spans="1:13" ht="15" customHeight="1" x14ac:dyDescent="0.2">
      <c r="B5" s="5" t="s">
        <v>64</v>
      </c>
      <c r="C5" s="178" t="s">
        <v>198</v>
      </c>
      <c r="D5" s="179"/>
      <c r="E5" s="179"/>
      <c r="F5" s="7"/>
    </row>
    <row r="6" spans="1:13" ht="15" customHeight="1" x14ac:dyDescent="0.2">
      <c r="B6" s="5" t="s">
        <v>1</v>
      </c>
      <c r="C6" s="179" t="s">
        <v>199</v>
      </c>
      <c r="D6" s="179"/>
      <c r="E6" s="179"/>
      <c r="F6" s="7"/>
    </row>
    <row r="7" spans="1:13" ht="15" customHeight="1" x14ac:dyDescent="0.2">
      <c r="B7" s="5" t="s">
        <v>2</v>
      </c>
      <c r="C7" s="180" t="s">
        <v>200</v>
      </c>
      <c r="D7" s="181"/>
      <c r="E7" s="181"/>
      <c r="F7" s="7"/>
    </row>
    <row r="8" spans="1:13" ht="15" customHeight="1" thickBot="1" x14ac:dyDescent="0.25">
      <c r="B8" s="5"/>
      <c r="C8" s="58"/>
      <c r="D8" s="7"/>
      <c r="E8" s="7"/>
      <c r="F8" s="7"/>
    </row>
    <row r="9" spans="1:13" s="7" customFormat="1" ht="13.5" thickTop="1" x14ac:dyDescent="0.2">
      <c r="B9" s="168" t="s">
        <v>57</v>
      </c>
      <c r="C9" s="168"/>
      <c r="D9" s="168"/>
      <c r="E9" s="168"/>
      <c r="F9" s="169"/>
      <c r="G9" s="1"/>
      <c r="H9" s="1"/>
      <c r="I9" s="1"/>
      <c r="J9" s="1"/>
    </row>
    <row r="10" spans="1:13" s="7" customFormat="1" ht="12.75" x14ac:dyDescent="0.2">
      <c r="B10" s="170"/>
      <c r="C10" s="170"/>
      <c r="D10" s="171" t="s">
        <v>59</v>
      </c>
      <c r="E10" s="171"/>
      <c r="G10" s="1"/>
      <c r="H10" s="1"/>
      <c r="I10" s="1"/>
      <c r="J10" s="1"/>
    </row>
    <row r="11" spans="1:13" ht="52.5" customHeight="1" x14ac:dyDescent="0.2">
      <c r="B11" s="7"/>
      <c r="C11" s="7"/>
      <c r="D11" s="93" t="s">
        <v>61</v>
      </c>
      <c r="E11" s="59" t="s">
        <v>60</v>
      </c>
    </row>
    <row r="12" spans="1:13" ht="15" customHeight="1" x14ac:dyDescent="0.2">
      <c r="D12" s="60">
        <v>354780</v>
      </c>
      <c r="E12" s="61">
        <v>70956</v>
      </c>
    </row>
    <row r="13" spans="1:13" ht="15" customHeight="1" thickBot="1" x14ac:dyDescent="0.25">
      <c r="B13" s="7"/>
      <c r="C13" s="7"/>
      <c r="D13" s="7"/>
      <c r="E13" s="7"/>
      <c r="F13" s="7"/>
      <c r="G13" s="7"/>
      <c r="H13" s="7"/>
    </row>
    <row r="14" spans="1:13" ht="13.5" thickTop="1" x14ac:dyDescent="0.2">
      <c r="B14" s="172" t="s">
        <v>3</v>
      </c>
      <c r="C14" s="172"/>
      <c r="D14" s="172"/>
      <c r="E14" s="172"/>
      <c r="F14" s="172"/>
      <c r="G14" s="172"/>
      <c r="H14" s="172"/>
    </row>
    <row r="15" spans="1:13" ht="15" customHeight="1" x14ac:dyDescent="0.25">
      <c r="A15" s="7"/>
      <c r="B15" s="15"/>
      <c r="D15" s="171" t="s">
        <v>124</v>
      </c>
      <c r="E15" s="171"/>
    </row>
    <row r="16" spans="1:13" ht="30.75" customHeight="1" x14ac:dyDescent="0.25">
      <c r="A16" s="7"/>
      <c r="C16" s="16" t="s">
        <v>42</v>
      </c>
      <c r="D16" s="14" t="s">
        <v>7</v>
      </c>
      <c r="E16" s="14" t="s">
        <v>8</v>
      </c>
    </row>
    <row r="17" spans="1:8" ht="15" customHeight="1" x14ac:dyDescent="0.25">
      <c r="A17" s="7"/>
      <c r="C17" s="30" t="s">
        <v>9</v>
      </c>
      <c r="D17" s="120">
        <v>13409</v>
      </c>
      <c r="E17" s="121">
        <v>5646536</v>
      </c>
    </row>
    <row r="18" spans="1:8" ht="15" customHeight="1" x14ac:dyDescent="0.25">
      <c r="A18" s="7"/>
      <c r="C18" s="30" t="s">
        <v>10</v>
      </c>
      <c r="D18" s="120">
        <v>19484</v>
      </c>
      <c r="E18" s="121">
        <v>4113425</v>
      </c>
    </row>
    <row r="19" spans="1:8" ht="15" customHeight="1" x14ac:dyDescent="0.25">
      <c r="A19" s="7"/>
      <c r="C19" s="30" t="s">
        <v>11</v>
      </c>
      <c r="D19" s="120">
        <v>6153</v>
      </c>
      <c r="E19" s="121">
        <v>1298976</v>
      </c>
    </row>
    <row r="20" spans="1:8" ht="15" customHeight="1" x14ac:dyDescent="0.25">
      <c r="A20" s="7"/>
      <c r="C20" s="30" t="s">
        <v>12</v>
      </c>
      <c r="D20" s="120" t="s">
        <v>201</v>
      </c>
      <c r="E20" s="121"/>
    </row>
    <row r="21" spans="1:8" ht="15" customHeight="1" x14ac:dyDescent="0.25">
      <c r="A21" s="7"/>
      <c r="C21" s="30" t="s">
        <v>37</v>
      </c>
      <c r="D21" s="120" t="s">
        <v>201</v>
      </c>
      <c r="E21" s="121"/>
    </row>
    <row r="22" spans="1:8" ht="15" customHeight="1" x14ac:dyDescent="0.25">
      <c r="A22" s="7"/>
      <c r="C22" s="31" t="s">
        <v>38</v>
      </c>
      <c r="D22" s="120" t="s">
        <v>201</v>
      </c>
      <c r="E22" s="121"/>
    </row>
    <row r="23" spans="1:8" ht="15" customHeight="1" x14ac:dyDescent="0.25">
      <c r="A23" s="7"/>
      <c r="C23" s="31" t="s">
        <v>5</v>
      </c>
      <c r="D23" s="122">
        <v>17032</v>
      </c>
      <c r="E23" s="121">
        <v>320417</v>
      </c>
    </row>
    <row r="24" spans="1:8" ht="15" customHeight="1" x14ac:dyDescent="0.25">
      <c r="A24" s="7"/>
      <c r="C24" s="123"/>
      <c r="D24" s="122"/>
      <c r="E24" s="121"/>
    </row>
    <row r="25" spans="1:8" ht="15" customHeight="1" x14ac:dyDescent="0.25">
      <c r="A25" s="7"/>
      <c r="C25" s="123"/>
      <c r="D25" s="122"/>
      <c r="E25" s="121"/>
    </row>
    <row r="26" spans="1:8" ht="30.75" customHeight="1" x14ac:dyDescent="0.25">
      <c r="A26" s="7"/>
      <c r="B26" s="173" t="s">
        <v>58</v>
      </c>
      <c r="C26" s="174"/>
      <c r="E26" s="66"/>
    </row>
    <row r="27" spans="1:8" ht="15" customHeight="1" x14ac:dyDescent="0.25">
      <c r="A27" s="7"/>
      <c r="C27" s="159" t="s">
        <v>202</v>
      </c>
      <c r="D27" s="64"/>
      <c r="E27" s="121">
        <v>1484380.0699999998</v>
      </c>
    </row>
    <row r="28" spans="1:8" ht="15" customHeight="1" x14ac:dyDescent="0.25">
      <c r="A28" s="7"/>
      <c r="C28" s="124"/>
      <c r="D28" s="65"/>
      <c r="E28" s="121"/>
    </row>
    <row r="29" spans="1:8" ht="15" customHeight="1" x14ac:dyDescent="0.25">
      <c r="C29" s="32" t="s">
        <v>6</v>
      </c>
      <c r="D29" s="117">
        <f>SUM(D17:D25)</f>
        <v>56078</v>
      </c>
      <c r="E29" s="118">
        <f>SUM(E17:E28)</f>
        <v>12863734.07</v>
      </c>
    </row>
    <row r="30" spans="1:8" ht="15" customHeight="1" x14ac:dyDescent="0.25">
      <c r="B30" s="17"/>
      <c r="C30" s="18"/>
      <c r="D30" s="19"/>
      <c r="E30" s="18"/>
      <c r="F30" s="19"/>
    </row>
    <row r="31" spans="1:8" s="7" customFormat="1" ht="15" customHeight="1" x14ac:dyDescent="0.25">
      <c r="B31" s="3" t="s">
        <v>4</v>
      </c>
      <c r="C31" s="167" t="str">
        <f>CON_Utility_Name</f>
        <v>Tacoma Public Utilities</v>
      </c>
      <c r="D31" s="167"/>
      <c r="E31" s="167"/>
      <c r="F31" s="167"/>
      <c r="G31" s="1"/>
      <c r="H31" s="1"/>
    </row>
    <row r="32" spans="1:8" s="7" customFormat="1" ht="21" customHeight="1" x14ac:dyDescent="0.25">
      <c r="B32" s="3"/>
      <c r="C32" s="6"/>
      <c r="D32" s="6"/>
      <c r="E32" s="6"/>
      <c r="F32" s="6"/>
    </row>
    <row r="33" spans="2:2" x14ac:dyDescent="0.25">
      <c r="B33" s="11" t="s">
        <v>36</v>
      </c>
    </row>
  </sheetData>
  <mergeCells count="13">
    <mergeCell ref="C3:E3"/>
    <mergeCell ref="C4:E4"/>
    <mergeCell ref="C5:E5"/>
    <mergeCell ref="C6:E6"/>
    <mergeCell ref="C7:E7"/>
    <mergeCell ref="C31:F31"/>
    <mergeCell ref="B9:F9"/>
    <mergeCell ref="B10:C10"/>
    <mergeCell ref="D10:E10"/>
    <mergeCell ref="G14:H14"/>
    <mergeCell ref="B14:F14"/>
    <mergeCell ref="B26:C26"/>
    <mergeCell ref="D15:E15"/>
  </mergeCells>
  <pageMargins left="0.7" right="0.7" top="0.75" bottom="0.75" header="0.3" footer="0.3"/>
  <pageSetup scale="96" fitToHeight="0" orientation="landscape" r:id="rId1"/>
  <rowBreaks count="1" manualBreakCount="1">
    <brk id="29" max="1638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theme="6"/>
    <pageSetUpPr fitToPage="1"/>
  </sheetPr>
  <dimension ref="A1:AH136"/>
  <sheetViews>
    <sheetView showGridLines="0" tabSelected="1" view="pageBreakPreview" zoomScaleNormal="100" zoomScaleSheetLayoutView="100" workbookViewId="0">
      <selection activeCell="N5" sqref="N5"/>
    </sheetView>
  </sheetViews>
  <sheetFormatPr defaultColWidth="9.109375" defaultRowHeight="13.2" x14ac:dyDescent="0.25"/>
  <cols>
    <col min="1" max="1" width="2.6640625" style="1" customWidth="1"/>
    <col min="2" max="2" width="33.109375" style="1" customWidth="1"/>
    <col min="3" max="4" width="10.33203125" style="1" customWidth="1"/>
    <col min="5" max="13" width="10.6640625" style="1" customWidth="1"/>
    <col min="14" max="14" width="14.109375" style="1" customWidth="1"/>
    <col min="15" max="15" width="10.6640625" style="1" customWidth="1"/>
    <col min="16" max="16" width="10.5546875" style="1" customWidth="1"/>
    <col min="17" max="17" width="10.6640625" style="1" customWidth="1"/>
    <col min="18" max="16384" width="9.109375" style="1"/>
  </cols>
  <sheetData>
    <row r="1" spans="2:34" s="7" customFormat="1" ht="19.5" x14ac:dyDescent="0.4">
      <c r="B1" s="48" t="s">
        <v>156</v>
      </c>
      <c r="C1" s="48"/>
      <c r="D1" s="48"/>
      <c r="AC1" s="43" t="s">
        <v>48</v>
      </c>
      <c r="AH1" s="40"/>
    </row>
    <row r="2" spans="2:34" ht="14.25" x14ac:dyDescent="0.2">
      <c r="B2" s="24"/>
      <c r="C2" s="24"/>
      <c r="D2" s="24"/>
      <c r="I2" s="182" t="s">
        <v>46</v>
      </c>
      <c r="J2" s="183"/>
      <c r="K2" s="183"/>
      <c r="L2" s="183"/>
      <c r="M2" s="183"/>
      <c r="N2" s="184"/>
      <c r="AC2" s="44" t="s">
        <v>49</v>
      </c>
      <c r="AH2" s="38"/>
    </row>
    <row r="3" spans="2:34" ht="15" customHeight="1" x14ac:dyDescent="0.25">
      <c r="B3" s="3" t="s">
        <v>4</v>
      </c>
      <c r="C3" s="175" t="s">
        <v>203</v>
      </c>
      <c r="D3" s="175"/>
      <c r="E3" s="175"/>
      <c r="I3" s="53"/>
      <c r="J3" s="7"/>
      <c r="K3" s="7"/>
      <c r="L3" s="7"/>
      <c r="M3" s="52" t="s">
        <v>53</v>
      </c>
      <c r="N3" s="160">
        <v>4806761</v>
      </c>
      <c r="AC3" s="44" t="s">
        <v>50</v>
      </c>
      <c r="AH3" s="38"/>
    </row>
    <row r="4" spans="2:34" ht="15" customHeight="1" thickBot="1" x14ac:dyDescent="0.3">
      <c r="B4" s="4" t="s">
        <v>65</v>
      </c>
      <c r="C4" s="188">
        <v>42153</v>
      </c>
      <c r="D4" s="188"/>
      <c r="E4" s="188"/>
      <c r="I4" s="53"/>
      <c r="J4" s="7"/>
      <c r="K4" s="7"/>
      <c r="L4" s="7"/>
      <c r="M4" s="52" t="s">
        <v>153</v>
      </c>
      <c r="N4" s="160">
        <v>4759936</v>
      </c>
      <c r="AC4" s="44" t="s">
        <v>51</v>
      </c>
      <c r="AH4" s="39"/>
    </row>
    <row r="5" spans="2:34" ht="15" customHeight="1" x14ac:dyDescent="0.2">
      <c r="B5" s="5" t="s">
        <v>0</v>
      </c>
      <c r="C5" s="189" t="s">
        <v>204</v>
      </c>
      <c r="D5" s="189"/>
      <c r="E5" s="189"/>
      <c r="I5" s="53"/>
      <c r="J5" s="7"/>
      <c r="K5" s="7"/>
      <c r="L5" s="7"/>
      <c r="M5" s="52" t="s">
        <v>154</v>
      </c>
      <c r="N5" s="165">
        <f>IF(REN_Load_2013+REN_Load_2014&gt;0,AVERAGE(REN_Load_2013,REN_Load_2014),0)</f>
        <v>4783348.5</v>
      </c>
    </row>
    <row r="6" spans="2:34" ht="15" customHeight="1" x14ac:dyDescent="0.2">
      <c r="B6" s="5" t="s">
        <v>1</v>
      </c>
      <c r="C6" s="189" t="s">
        <v>205</v>
      </c>
      <c r="D6" s="189"/>
      <c r="E6" s="189"/>
      <c r="I6" s="53"/>
      <c r="J6" s="7"/>
      <c r="K6" s="7"/>
      <c r="L6" s="7"/>
      <c r="M6" s="52" t="s">
        <v>155</v>
      </c>
      <c r="N6" s="116">
        <v>0.03</v>
      </c>
    </row>
    <row r="7" spans="2:34" ht="15" customHeight="1" x14ac:dyDescent="0.25">
      <c r="B7" s="5" t="s">
        <v>2</v>
      </c>
      <c r="C7" s="190" t="s">
        <v>206</v>
      </c>
      <c r="D7" s="191"/>
      <c r="E7" s="191"/>
      <c r="I7" s="63"/>
      <c r="J7" s="7"/>
      <c r="K7" s="7"/>
      <c r="L7" s="7"/>
      <c r="M7" s="52" t="s">
        <v>169</v>
      </c>
      <c r="N7" s="165">
        <f>N5*N6</f>
        <v>143500.45499999999</v>
      </c>
    </row>
    <row r="8" spans="2:34" ht="15" customHeight="1" x14ac:dyDescent="0.2">
      <c r="B8" s="5"/>
      <c r="C8" s="5"/>
      <c r="D8" s="5"/>
      <c r="E8" s="37"/>
      <c r="I8" s="54"/>
      <c r="J8" s="55"/>
      <c r="K8" s="55"/>
      <c r="L8" s="55"/>
      <c r="M8" s="56" t="s">
        <v>52</v>
      </c>
      <c r="N8" s="166">
        <f>SUM(C20:M20)</f>
        <v>262883</v>
      </c>
    </row>
    <row r="9" spans="2:34" ht="15" customHeight="1" x14ac:dyDescent="0.2">
      <c r="B9" s="3" t="s">
        <v>193</v>
      </c>
      <c r="C9" s="49"/>
      <c r="D9" s="49"/>
    </row>
    <row r="10" spans="2:34" ht="15" customHeight="1" x14ac:dyDescent="0.2">
      <c r="C10" s="24"/>
      <c r="D10" s="24"/>
      <c r="G10" s="185" t="s">
        <v>192</v>
      </c>
      <c r="H10" s="186"/>
      <c r="I10" s="186"/>
      <c r="J10" s="186"/>
      <c r="K10" s="186"/>
      <c r="L10" s="186"/>
      <c r="M10" s="186"/>
      <c r="N10" s="187"/>
    </row>
    <row r="11" spans="2:34" s="41" customFormat="1" ht="14.25" customHeight="1" x14ac:dyDescent="0.25">
      <c r="B11" s="1"/>
      <c r="C11" s="42"/>
      <c r="D11" s="42"/>
      <c r="G11" s="53" t="s">
        <v>101</v>
      </c>
      <c r="H11" s="69"/>
      <c r="I11" s="69"/>
      <c r="J11" s="69"/>
      <c r="K11" s="69"/>
      <c r="L11" s="69"/>
      <c r="M11" s="7"/>
      <c r="N11" s="114">
        <f>'Renewable Cost Report'!L28+'Renewable Cost Report'!F60</f>
        <v>2374970</v>
      </c>
    </row>
    <row r="12" spans="2:34" x14ac:dyDescent="0.25">
      <c r="C12" s="24"/>
      <c r="D12" s="24"/>
      <c r="G12" s="53" t="s">
        <v>170</v>
      </c>
      <c r="H12" s="67"/>
      <c r="I12" s="67"/>
      <c r="J12" s="67"/>
      <c r="K12" s="67"/>
      <c r="L12" s="7"/>
      <c r="M12" s="7"/>
      <c r="N12" s="125">
        <v>329828796.27409834</v>
      </c>
    </row>
    <row r="13" spans="2:34" ht="12.75" x14ac:dyDescent="0.2">
      <c r="G13" s="70" t="s">
        <v>102</v>
      </c>
      <c r="H13" s="68"/>
      <c r="I13" s="68"/>
      <c r="J13" s="68"/>
      <c r="K13" s="68"/>
      <c r="L13" s="55"/>
      <c r="M13" s="55"/>
      <c r="N13" s="115">
        <f>IF(REN_RetailRevenueRequirement_2015&gt;0,REN_Expenditure_Amount_2015/REN_RetailRevenueRequirement_2015,"")</f>
        <v>7.2006144606801513E-3</v>
      </c>
    </row>
    <row r="14" spans="2:34" ht="17.399999999999999" customHeight="1" x14ac:dyDescent="0.2">
      <c r="I14" s="192"/>
      <c r="J14" s="192"/>
      <c r="K14" s="192"/>
      <c r="L14" s="192"/>
      <c r="M14" s="192"/>
      <c r="N14" s="34"/>
      <c r="O14" s="20"/>
      <c r="P14" s="20"/>
    </row>
    <row r="15" spans="2:34" ht="16.95" customHeight="1" x14ac:dyDescent="0.25">
      <c r="B15" s="5"/>
      <c r="C15" s="29" t="s">
        <v>14</v>
      </c>
      <c r="D15" s="27" t="s">
        <v>15</v>
      </c>
      <c r="E15" s="27" t="s">
        <v>16</v>
      </c>
      <c r="F15" s="27" t="s">
        <v>17</v>
      </c>
      <c r="G15" s="27" t="s">
        <v>18</v>
      </c>
      <c r="H15" s="27" t="s">
        <v>19</v>
      </c>
      <c r="I15" s="27" t="s">
        <v>20</v>
      </c>
      <c r="J15" s="27" t="s">
        <v>21</v>
      </c>
      <c r="K15" s="28" t="s">
        <v>22</v>
      </c>
      <c r="L15" s="28" t="s">
        <v>66</v>
      </c>
      <c r="M15" s="28" t="s">
        <v>67</v>
      </c>
      <c r="N15" s="34"/>
      <c r="O15" s="20"/>
      <c r="P15" s="20"/>
    </row>
    <row r="16" spans="2:34" ht="21.75" customHeight="1" x14ac:dyDescent="0.2">
      <c r="B16" s="10"/>
      <c r="C16" s="23" t="s">
        <v>23</v>
      </c>
      <c r="D16" s="23" t="s">
        <v>24</v>
      </c>
      <c r="E16" s="23" t="s">
        <v>25</v>
      </c>
      <c r="F16" s="23" t="s">
        <v>26</v>
      </c>
      <c r="G16" s="23" t="s">
        <v>27</v>
      </c>
      <c r="H16" s="23" t="s">
        <v>41</v>
      </c>
      <c r="I16" s="23" t="s">
        <v>28</v>
      </c>
      <c r="J16" s="23" t="s">
        <v>29</v>
      </c>
      <c r="K16" s="23" t="s">
        <v>30</v>
      </c>
      <c r="L16" s="23" t="s">
        <v>34</v>
      </c>
      <c r="M16" s="23" t="s">
        <v>31</v>
      </c>
      <c r="N16" s="34"/>
      <c r="O16" s="20"/>
      <c r="P16" s="20"/>
    </row>
    <row r="17" spans="2:34" ht="18" customHeight="1" x14ac:dyDescent="0.25">
      <c r="B17" s="5"/>
      <c r="C17" s="21" t="s">
        <v>7</v>
      </c>
      <c r="D17" s="21" t="s">
        <v>7</v>
      </c>
      <c r="E17" s="21" t="s">
        <v>7</v>
      </c>
      <c r="F17" s="21" t="s">
        <v>7</v>
      </c>
      <c r="G17" s="21" t="s">
        <v>7</v>
      </c>
      <c r="H17" s="21" t="s">
        <v>7</v>
      </c>
      <c r="I17" s="21" t="s">
        <v>7</v>
      </c>
      <c r="J17" s="21" t="s">
        <v>7</v>
      </c>
      <c r="K17" s="21" t="s">
        <v>7</v>
      </c>
      <c r="L17" s="21" t="s">
        <v>56</v>
      </c>
      <c r="M17" s="21" t="s">
        <v>56</v>
      </c>
      <c r="N17" s="34"/>
      <c r="O17" s="20"/>
      <c r="P17" s="20"/>
    </row>
    <row r="18" spans="2:34" ht="15" customHeight="1" x14ac:dyDescent="0.25">
      <c r="B18" s="4" t="s">
        <v>43</v>
      </c>
      <c r="C18" s="126">
        <f t="shared" ref="C18:L18" si="0">SUM(E44:E64)</f>
        <v>70058</v>
      </c>
      <c r="D18" s="126">
        <f t="shared" si="0"/>
        <v>0</v>
      </c>
      <c r="E18" s="126">
        <f t="shared" si="0"/>
        <v>0</v>
      </c>
      <c r="F18" s="126">
        <f t="shared" si="0"/>
        <v>0</v>
      </c>
      <c r="G18" s="126">
        <f t="shared" si="0"/>
        <v>0</v>
      </c>
      <c r="H18" s="126">
        <f t="shared" si="0"/>
        <v>0</v>
      </c>
      <c r="I18" s="126">
        <f t="shared" si="0"/>
        <v>0</v>
      </c>
      <c r="J18" s="126">
        <f t="shared" si="0"/>
        <v>0</v>
      </c>
      <c r="K18" s="126">
        <f t="shared" si="0"/>
        <v>0</v>
      </c>
      <c r="L18" s="126">
        <f t="shared" si="0"/>
        <v>12552</v>
      </c>
      <c r="M18" s="62"/>
      <c r="N18" s="35"/>
      <c r="O18" s="46"/>
      <c r="P18" s="46"/>
    </row>
    <row r="19" spans="2:34" ht="16.5" customHeight="1" x14ac:dyDescent="0.25">
      <c r="B19" s="4" t="s">
        <v>44</v>
      </c>
      <c r="C19" s="62"/>
      <c r="D19" s="127">
        <f t="shared" ref="D19:M19" si="1">SUM(F72:F96)</f>
        <v>180273</v>
      </c>
      <c r="E19" s="127">
        <f t="shared" si="1"/>
        <v>0</v>
      </c>
      <c r="F19" s="127">
        <f t="shared" si="1"/>
        <v>0</v>
      </c>
      <c r="G19" s="127">
        <f t="shared" si="1"/>
        <v>0</v>
      </c>
      <c r="H19" s="127">
        <f t="shared" si="1"/>
        <v>0</v>
      </c>
      <c r="I19" s="127">
        <f t="shared" si="1"/>
        <v>0</v>
      </c>
      <c r="J19" s="127">
        <f t="shared" si="1"/>
        <v>0</v>
      </c>
      <c r="K19" s="127">
        <f t="shared" si="1"/>
        <v>0</v>
      </c>
      <c r="L19" s="127">
        <f t="shared" si="1"/>
        <v>0</v>
      </c>
      <c r="M19" s="127">
        <f t="shared" si="1"/>
        <v>0</v>
      </c>
      <c r="N19" s="36"/>
      <c r="O19" s="20"/>
      <c r="P19" s="20"/>
    </row>
    <row r="20" spans="2:34" ht="16.5" customHeight="1" x14ac:dyDescent="0.25">
      <c r="B20" s="5" t="s">
        <v>45</v>
      </c>
      <c r="C20" s="128">
        <f t="shared" ref="C20:L20" si="2">C18+C19</f>
        <v>70058</v>
      </c>
      <c r="D20" s="128">
        <f t="shared" si="2"/>
        <v>180273</v>
      </c>
      <c r="E20" s="128">
        <f t="shared" si="2"/>
        <v>0</v>
      </c>
      <c r="F20" s="128">
        <f t="shared" si="2"/>
        <v>0</v>
      </c>
      <c r="G20" s="128">
        <f t="shared" si="2"/>
        <v>0</v>
      </c>
      <c r="H20" s="128">
        <f t="shared" si="2"/>
        <v>0</v>
      </c>
      <c r="I20" s="128">
        <f t="shared" si="2"/>
        <v>0</v>
      </c>
      <c r="J20" s="128">
        <f t="shared" si="2"/>
        <v>0</v>
      </c>
      <c r="K20" s="128">
        <f t="shared" si="2"/>
        <v>0</v>
      </c>
      <c r="L20" s="128">
        <f t="shared" si="2"/>
        <v>12552</v>
      </c>
      <c r="M20" s="127">
        <f>M19</f>
        <v>0</v>
      </c>
      <c r="N20" s="36"/>
      <c r="O20" s="20"/>
      <c r="P20" s="20"/>
    </row>
    <row r="21" spans="2:34" ht="16.5" customHeight="1" x14ac:dyDescent="0.25">
      <c r="L21" s="7"/>
      <c r="M21" s="4"/>
      <c r="N21" s="36"/>
      <c r="O21" s="20"/>
      <c r="P21" s="20"/>
    </row>
    <row r="22" spans="2:34" ht="21.75" customHeight="1" x14ac:dyDescent="0.25">
      <c r="L22" s="7"/>
      <c r="M22" s="4"/>
      <c r="N22" s="36"/>
      <c r="O22" s="20"/>
      <c r="P22" s="20"/>
    </row>
    <row r="23" spans="2:34" ht="15" customHeight="1" x14ac:dyDescent="0.25">
      <c r="B23" s="47"/>
      <c r="C23" s="50"/>
      <c r="D23" s="50"/>
      <c r="E23" s="47"/>
      <c r="F23" s="50"/>
      <c r="G23" s="50"/>
      <c r="I23" s="7"/>
      <c r="J23" s="7"/>
      <c r="K23" s="7"/>
      <c r="L23" s="7"/>
      <c r="M23" s="4"/>
      <c r="N23" s="36"/>
      <c r="O23" s="20"/>
      <c r="P23" s="20"/>
    </row>
    <row r="24" spans="2:34" ht="15" customHeight="1" x14ac:dyDescent="0.25"/>
    <row r="25" spans="2:34" s="11" customFormat="1" x14ac:dyDescent="0.25">
      <c r="AH25" s="1"/>
    </row>
    <row r="26" spans="2:34" ht="15" customHeight="1" x14ac:dyDescent="0.25">
      <c r="AH26" s="11"/>
    </row>
    <row r="27" spans="2:34" ht="15" customHeight="1" x14ac:dyDescent="0.25">
      <c r="AH27" s="11"/>
    </row>
    <row r="28" spans="2:34" ht="15" customHeight="1" x14ac:dyDescent="0.25">
      <c r="AH28" s="11"/>
    </row>
    <row r="29" spans="2:34" ht="15" customHeight="1" x14ac:dyDescent="0.25">
      <c r="AH29" s="11"/>
    </row>
    <row r="30" spans="2:34" ht="15" customHeight="1" x14ac:dyDescent="0.25">
      <c r="AH30" s="11"/>
    </row>
    <row r="31" spans="2:34" ht="15" customHeight="1" x14ac:dyDescent="0.25">
      <c r="AH31" s="11"/>
    </row>
    <row r="32" spans="2:34" ht="15" customHeight="1" x14ac:dyDescent="0.25">
      <c r="AH32" s="11"/>
    </row>
    <row r="33" spans="2:34" ht="15" customHeight="1" x14ac:dyDescent="0.25"/>
    <row r="34" spans="2:34" ht="15" customHeight="1" x14ac:dyDescent="0.25"/>
    <row r="35" spans="2:34" ht="15" customHeight="1" x14ac:dyDescent="0.25"/>
    <row r="36" spans="2:34" ht="16.5" customHeight="1" x14ac:dyDescent="0.25">
      <c r="B36" s="6" t="s">
        <v>39</v>
      </c>
      <c r="C36" s="6"/>
      <c r="D36" s="6"/>
      <c r="E36" s="10" t="s">
        <v>4</v>
      </c>
      <c r="F36" s="193" t="str">
        <f>C3</f>
        <v>Tacoma Power</v>
      </c>
      <c r="G36" s="194"/>
      <c r="H36" s="195"/>
    </row>
    <row r="37" spans="2:34" ht="15" customHeight="1" x14ac:dyDescent="0.25">
      <c r="E37" s="10" t="s">
        <v>13</v>
      </c>
      <c r="F37" s="196">
        <v>2015</v>
      </c>
      <c r="G37" s="197"/>
      <c r="H37" s="198"/>
    </row>
    <row r="38" spans="2:34" ht="15" customHeight="1" x14ac:dyDescent="0.25">
      <c r="E38" s="10"/>
      <c r="F38" s="45"/>
      <c r="G38" s="9"/>
      <c r="H38" s="9"/>
    </row>
    <row r="39" spans="2:34" s="25" customFormat="1" ht="27" customHeight="1" x14ac:dyDescent="0.3">
      <c r="B39" s="199" t="s">
        <v>105</v>
      </c>
      <c r="C39" s="200"/>
      <c r="D39" s="200"/>
      <c r="E39" s="201"/>
      <c r="F39" s="201"/>
      <c r="G39" s="201"/>
      <c r="H39" s="26"/>
      <c r="AH39" s="1"/>
    </row>
    <row r="40" spans="2:34" ht="15" customHeight="1" x14ac:dyDescent="0.25">
      <c r="E40" s="12"/>
      <c r="F40" s="12"/>
      <c r="G40" s="12"/>
      <c r="H40" s="12"/>
      <c r="I40" s="12"/>
      <c r="J40" s="12"/>
      <c r="K40" s="12"/>
      <c r="L40" s="12"/>
      <c r="M40" s="12"/>
      <c r="N40" s="12"/>
      <c r="P40" s="12"/>
      <c r="Q40" s="12"/>
      <c r="R40" s="12"/>
      <c r="S40" s="12"/>
      <c r="AH40" s="25"/>
    </row>
    <row r="41" spans="2:34" s="7" customFormat="1" ht="12.75" customHeight="1" x14ac:dyDescent="0.25">
      <c r="E41" s="29" t="s">
        <v>14</v>
      </c>
      <c r="F41" s="27" t="s">
        <v>15</v>
      </c>
      <c r="G41" s="27" t="s">
        <v>16</v>
      </c>
      <c r="H41" s="27" t="s">
        <v>17</v>
      </c>
      <c r="I41" s="27" t="s">
        <v>18</v>
      </c>
      <c r="J41" s="27" t="s">
        <v>19</v>
      </c>
      <c r="K41" s="27" t="s">
        <v>20</v>
      </c>
      <c r="L41" s="27" t="s">
        <v>21</v>
      </c>
      <c r="M41" s="28" t="s">
        <v>22</v>
      </c>
      <c r="N41" s="28" t="s">
        <v>66</v>
      </c>
      <c r="O41" s="1"/>
      <c r="AH41" s="1"/>
    </row>
    <row r="42" spans="2:34" s="11" customFormat="1" ht="43.5" customHeight="1" x14ac:dyDescent="0.25">
      <c r="E42" s="23" t="s">
        <v>33</v>
      </c>
      <c r="F42" s="23" t="s">
        <v>24</v>
      </c>
      <c r="G42" s="23" t="s">
        <v>25</v>
      </c>
      <c r="H42" s="23" t="s">
        <v>26</v>
      </c>
      <c r="I42" s="23" t="s">
        <v>27</v>
      </c>
      <c r="J42" s="23" t="s">
        <v>40</v>
      </c>
      <c r="K42" s="23" t="s">
        <v>28</v>
      </c>
      <c r="L42" s="23" t="s">
        <v>29</v>
      </c>
      <c r="M42" s="23" t="s">
        <v>30</v>
      </c>
      <c r="N42" s="23" t="s">
        <v>34</v>
      </c>
      <c r="O42" s="1"/>
      <c r="AH42" s="7"/>
    </row>
    <row r="43" spans="2:34" ht="15" customHeight="1" x14ac:dyDescent="0.25">
      <c r="B43" s="51" t="s">
        <v>35</v>
      </c>
      <c r="C43" s="202" t="s">
        <v>54</v>
      </c>
      <c r="D43" s="202"/>
      <c r="E43" s="21" t="s">
        <v>7</v>
      </c>
      <c r="F43" s="21" t="s">
        <v>7</v>
      </c>
      <c r="G43" s="21" t="s">
        <v>7</v>
      </c>
      <c r="H43" s="21" t="s">
        <v>7</v>
      </c>
      <c r="I43" s="21" t="s">
        <v>7</v>
      </c>
      <c r="J43" s="21" t="s">
        <v>7</v>
      </c>
      <c r="K43" s="21" t="s">
        <v>7</v>
      </c>
      <c r="L43" s="21" t="s">
        <v>7</v>
      </c>
      <c r="M43" s="21" t="s">
        <v>7</v>
      </c>
      <c r="N43" s="21" t="s">
        <v>56</v>
      </c>
      <c r="AH43" s="11"/>
    </row>
    <row r="44" spans="2:34" ht="15" customHeight="1" x14ac:dyDescent="0.25">
      <c r="B44" s="129" t="s">
        <v>207</v>
      </c>
      <c r="C44" s="130"/>
      <c r="D44" s="130"/>
      <c r="E44" s="131"/>
      <c r="F44" s="126"/>
      <c r="G44" s="126"/>
      <c r="H44" s="126"/>
      <c r="I44" s="126"/>
      <c r="J44" s="126"/>
      <c r="K44" s="126"/>
      <c r="L44" s="126"/>
      <c r="M44" s="126"/>
      <c r="N44" s="126"/>
    </row>
    <row r="45" spans="2:34" ht="15" customHeight="1" x14ac:dyDescent="0.25">
      <c r="B45" s="132" t="s">
        <v>208</v>
      </c>
      <c r="C45" s="133"/>
      <c r="D45" s="133"/>
      <c r="E45" s="135">
        <v>26488</v>
      </c>
      <c r="F45" s="135"/>
      <c r="G45" s="135"/>
      <c r="H45" s="135"/>
      <c r="I45" s="135"/>
      <c r="J45" s="135"/>
      <c r="K45" s="135"/>
      <c r="L45" s="135"/>
      <c r="M45" s="135"/>
      <c r="N45" s="135">
        <v>5298</v>
      </c>
    </row>
    <row r="46" spans="2:34" ht="15" customHeight="1" x14ac:dyDescent="0.25">
      <c r="B46" s="132" t="s">
        <v>209</v>
      </c>
      <c r="C46" s="133"/>
      <c r="D46" s="133"/>
      <c r="E46" s="135">
        <v>20000</v>
      </c>
      <c r="F46" s="135"/>
      <c r="G46" s="135"/>
      <c r="H46" s="135"/>
      <c r="I46" s="135"/>
      <c r="J46" s="135"/>
      <c r="K46" s="135"/>
      <c r="L46" s="135"/>
      <c r="M46" s="135"/>
      <c r="N46" s="135">
        <v>4000</v>
      </c>
    </row>
    <row r="47" spans="2:34" ht="15" customHeight="1" x14ac:dyDescent="0.25">
      <c r="B47" s="136" t="s">
        <v>210</v>
      </c>
      <c r="C47" s="137"/>
      <c r="D47" s="137"/>
      <c r="E47" s="135">
        <v>270</v>
      </c>
      <c r="F47" s="135"/>
      <c r="G47" s="135"/>
      <c r="H47" s="135"/>
      <c r="I47" s="135"/>
      <c r="J47" s="135"/>
      <c r="K47" s="135"/>
      <c r="L47" s="135"/>
      <c r="M47" s="135"/>
      <c r="N47" s="135">
        <v>54</v>
      </c>
    </row>
    <row r="48" spans="2:34" ht="15" customHeight="1" x14ac:dyDescent="0.25">
      <c r="B48" s="138" t="s">
        <v>211</v>
      </c>
      <c r="C48" s="139"/>
      <c r="D48" s="139"/>
      <c r="E48" s="135"/>
      <c r="F48" s="135"/>
      <c r="G48" s="135"/>
      <c r="H48" s="135"/>
      <c r="I48" s="135"/>
      <c r="J48" s="135"/>
      <c r="K48" s="135"/>
      <c r="L48" s="135"/>
      <c r="M48" s="135"/>
      <c r="N48" s="135"/>
    </row>
    <row r="49" spans="2:14" ht="15" customHeight="1" x14ac:dyDescent="0.25">
      <c r="B49" s="123" t="s">
        <v>212</v>
      </c>
      <c r="C49" s="140"/>
      <c r="D49" s="140"/>
      <c r="E49" s="135">
        <v>2000</v>
      </c>
      <c r="F49" s="135"/>
      <c r="G49" s="135"/>
      <c r="H49" s="135"/>
      <c r="I49" s="135"/>
      <c r="J49" s="135"/>
      <c r="K49" s="135"/>
      <c r="L49" s="135"/>
      <c r="M49" s="135"/>
      <c r="N49" s="135"/>
    </row>
    <row r="50" spans="2:14" ht="15" customHeight="1" x14ac:dyDescent="0.25">
      <c r="B50" s="123" t="s">
        <v>213</v>
      </c>
      <c r="C50" s="140"/>
      <c r="D50" s="140"/>
      <c r="E50" s="135"/>
      <c r="F50" s="135"/>
      <c r="G50" s="135"/>
      <c r="H50" s="135"/>
      <c r="I50" s="135"/>
      <c r="J50" s="135"/>
      <c r="K50" s="135"/>
      <c r="L50" s="135"/>
      <c r="M50" s="135"/>
      <c r="N50" s="135"/>
    </row>
    <row r="51" spans="2:14" ht="15" customHeight="1" x14ac:dyDescent="0.25">
      <c r="B51" s="123" t="s">
        <v>214</v>
      </c>
      <c r="C51" s="140"/>
      <c r="D51" s="140"/>
      <c r="E51" s="135">
        <v>8000</v>
      </c>
      <c r="F51" s="135"/>
      <c r="G51" s="135"/>
      <c r="H51" s="135"/>
      <c r="I51" s="135"/>
      <c r="J51" s="135"/>
      <c r="K51" s="135"/>
      <c r="L51" s="135"/>
      <c r="M51" s="135"/>
      <c r="N51" s="135">
        <v>1600</v>
      </c>
    </row>
    <row r="52" spans="2:14" ht="15" customHeight="1" x14ac:dyDescent="0.25">
      <c r="B52" s="123" t="s">
        <v>215</v>
      </c>
      <c r="C52" s="140"/>
      <c r="D52" s="140"/>
      <c r="E52" s="135">
        <v>8000</v>
      </c>
      <c r="F52" s="135"/>
      <c r="G52" s="135"/>
      <c r="H52" s="135"/>
      <c r="I52" s="135"/>
      <c r="J52" s="135"/>
      <c r="K52" s="135"/>
      <c r="L52" s="135"/>
      <c r="M52" s="135"/>
      <c r="N52" s="135">
        <v>1600</v>
      </c>
    </row>
    <row r="53" spans="2:14" ht="15" customHeight="1" x14ac:dyDescent="0.25">
      <c r="B53" s="123" t="s">
        <v>216</v>
      </c>
      <c r="C53" s="140"/>
      <c r="D53" s="140"/>
      <c r="E53" s="135">
        <v>3300</v>
      </c>
      <c r="F53" s="135"/>
      <c r="G53" s="135"/>
      <c r="H53" s="135"/>
      <c r="I53" s="135"/>
      <c r="J53" s="135"/>
      <c r="K53" s="135"/>
      <c r="L53" s="135"/>
      <c r="M53" s="135"/>
      <c r="N53" s="135"/>
    </row>
    <row r="54" spans="2:14" ht="15" customHeight="1" x14ac:dyDescent="0.25">
      <c r="B54" s="123" t="s">
        <v>217</v>
      </c>
      <c r="C54" s="140"/>
      <c r="D54" s="140"/>
      <c r="E54" s="135"/>
      <c r="F54" s="135"/>
      <c r="G54" s="135"/>
      <c r="H54" s="135"/>
      <c r="I54" s="135"/>
      <c r="J54" s="135"/>
      <c r="K54" s="135"/>
      <c r="L54" s="135"/>
      <c r="M54" s="135"/>
      <c r="N54" s="135"/>
    </row>
    <row r="55" spans="2:14" ht="15" customHeight="1" x14ac:dyDescent="0.25">
      <c r="B55" s="123" t="s">
        <v>218</v>
      </c>
      <c r="C55" s="140"/>
      <c r="D55" s="140"/>
      <c r="E55" s="134">
        <v>2000</v>
      </c>
      <c r="F55" s="135"/>
      <c r="G55" s="135"/>
      <c r="H55" s="135"/>
      <c r="I55" s="135"/>
      <c r="J55" s="135"/>
      <c r="K55" s="135"/>
      <c r="L55" s="135"/>
      <c r="M55" s="135"/>
      <c r="N55" s="135"/>
    </row>
    <row r="56" spans="2:14" ht="15" customHeight="1" x14ac:dyDescent="0.25">
      <c r="B56" s="123"/>
      <c r="C56" s="140"/>
      <c r="D56" s="140"/>
      <c r="E56" s="134"/>
      <c r="F56" s="135"/>
      <c r="G56" s="135"/>
      <c r="H56" s="135"/>
      <c r="I56" s="135"/>
      <c r="J56" s="135"/>
      <c r="K56" s="135"/>
      <c r="L56" s="135"/>
      <c r="M56" s="135"/>
      <c r="N56" s="135"/>
    </row>
    <row r="57" spans="2:14" ht="15" customHeight="1" x14ac:dyDescent="0.25">
      <c r="B57" s="123"/>
      <c r="C57" s="140"/>
      <c r="D57" s="140"/>
      <c r="E57" s="134"/>
      <c r="F57" s="135"/>
      <c r="G57" s="135"/>
      <c r="H57" s="135"/>
      <c r="I57" s="135"/>
      <c r="J57" s="135"/>
      <c r="K57" s="135"/>
      <c r="L57" s="135"/>
      <c r="M57" s="135"/>
      <c r="N57" s="135"/>
    </row>
    <row r="58" spans="2:14" ht="15" customHeight="1" x14ac:dyDescent="0.25">
      <c r="B58" s="123"/>
      <c r="C58" s="140"/>
      <c r="D58" s="140"/>
      <c r="E58" s="134"/>
      <c r="F58" s="135"/>
      <c r="G58" s="135"/>
      <c r="H58" s="135"/>
      <c r="I58" s="135"/>
      <c r="J58" s="135"/>
      <c r="K58" s="135"/>
      <c r="L58" s="135"/>
      <c r="M58" s="135"/>
      <c r="N58" s="135"/>
    </row>
    <row r="59" spans="2:14" ht="15" customHeight="1" x14ac:dyDescent="0.25">
      <c r="B59" s="123"/>
      <c r="C59" s="140"/>
      <c r="D59" s="140"/>
      <c r="E59" s="134"/>
      <c r="F59" s="135"/>
      <c r="G59" s="135"/>
      <c r="H59" s="135"/>
      <c r="I59" s="135"/>
      <c r="J59" s="135"/>
      <c r="K59" s="135"/>
      <c r="L59" s="135"/>
      <c r="M59" s="135"/>
      <c r="N59" s="135"/>
    </row>
    <row r="60" spans="2:14" ht="15" customHeight="1" x14ac:dyDescent="0.25">
      <c r="B60" s="123"/>
      <c r="C60" s="140"/>
      <c r="D60" s="140"/>
      <c r="E60" s="134"/>
      <c r="F60" s="135"/>
      <c r="G60" s="135"/>
      <c r="H60" s="135"/>
      <c r="I60" s="135"/>
      <c r="J60" s="135"/>
      <c r="K60" s="135"/>
      <c r="L60" s="135"/>
      <c r="M60" s="135"/>
      <c r="N60" s="135"/>
    </row>
    <row r="61" spans="2:14" ht="15" customHeight="1" x14ac:dyDescent="0.25">
      <c r="B61" s="123"/>
      <c r="C61" s="140"/>
      <c r="D61" s="140"/>
      <c r="E61" s="134"/>
      <c r="F61" s="135"/>
      <c r="G61" s="135"/>
      <c r="H61" s="135"/>
      <c r="I61" s="135"/>
      <c r="J61" s="135"/>
      <c r="K61" s="135"/>
      <c r="L61" s="135"/>
      <c r="M61" s="135"/>
      <c r="N61" s="135"/>
    </row>
    <row r="62" spans="2:14" ht="15" customHeight="1" x14ac:dyDescent="0.25">
      <c r="B62" s="123"/>
      <c r="C62" s="140"/>
      <c r="D62" s="140"/>
      <c r="E62" s="134"/>
      <c r="F62" s="135"/>
      <c r="G62" s="135"/>
      <c r="H62" s="135"/>
      <c r="I62" s="135"/>
      <c r="J62" s="135"/>
      <c r="K62" s="135"/>
      <c r="L62" s="135"/>
      <c r="M62" s="135"/>
      <c r="N62" s="135"/>
    </row>
    <row r="63" spans="2:14" ht="15" customHeight="1" x14ac:dyDescent="0.25">
      <c r="B63" s="123"/>
      <c r="C63" s="140"/>
      <c r="D63" s="140"/>
      <c r="E63" s="134"/>
      <c r="F63" s="135"/>
      <c r="G63" s="135"/>
      <c r="H63" s="135"/>
      <c r="I63" s="135"/>
      <c r="J63" s="135"/>
      <c r="K63" s="135"/>
      <c r="L63" s="135"/>
      <c r="M63" s="135"/>
      <c r="N63" s="135"/>
    </row>
    <row r="64" spans="2:14" ht="15" customHeight="1" x14ac:dyDescent="0.25">
      <c r="B64" s="141"/>
      <c r="C64" s="142"/>
      <c r="D64" s="142"/>
      <c r="E64" s="143"/>
      <c r="F64" s="127"/>
      <c r="G64" s="127"/>
      <c r="H64" s="127"/>
      <c r="I64" s="127"/>
      <c r="J64" s="127"/>
      <c r="K64" s="127"/>
      <c r="L64" s="127"/>
      <c r="M64" s="127"/>
      <c r="N64" s="127"/>
    </row>
    <row r="65" spans="1:34" ht="15" customHeight="1" x14ac:dyDescent="0.25">
      <c r="E65" s="7"/>
      <c r="F65" s="7"/>
      <c r="G65" s="7"/>
      <c r="H65" s="7"/>
      <c r="I65" s="7"/>
      <c r="J65" s="7"/>
      <c r="K65" s="7"/>
      <c r="L65" s="7"/>
      <c r="M65" s="7"/>
      <c r="N65" s="7"/>
    </row>
    <row r="66" spans="1:34" ht="17.25" customHeight="1" x14ac:dyDescent="0.25">
      <c r="B66" s="6" t="s">
        <v>32</v>
      </c>
      <c r="C66" s="6"/>
      <c r="D66" s="6"/>
      <c r="E66" s="10" t="s">
        <v>4</v>
      </c>
      <c r="F66" s="193" t="str">
        <f>C3</f>
        <v>Tacoma Power</v>
      </c>
      <c r="G66" s="194"/>
      <c r="H66" s="195"/>
    </row>
    <row r="67" spans="1:34" ht="15" customHeight="1" x14ac:dyDescent="0.25">
      <c r="E67" s="10" t="s">
        <v>13</v>
      </c>
      <c r="F67" s="196">
        <v>2015</v>
      </c>
      <c r="G67" s="197"/>
      <c r="H67" s="198"/>
    </row>
    <row r="68" spans="1:34" ht="15" customHeight="1" x14ac:dyDescent="0.25">
      <c r="B68" s="10"/>
      <c r="C68" s="10"/>
      <c r="D68" s="10"/>
      <c r="E68" s="8"/>
      <c r="H68" s="22"/>
      <c r="I68" s="7"/>
    </row>
    <row r="69" spans="1:34" s="7" customFormat="1" ht="16.5" customHeight="1" x14ac:dyDescent="0.25">
      <c r="B69" s="6"/>
      <c r="C69" s="6"/>
      <c r="D69" s="6"/>
      <c r="E69" s="29" t="s">
        <v>14</v>
      </c>
      <c r="F69" s="27" t="s">
        <v>15</v>
      </c>
      <c r="G69" s="27" t="s">
        <v>16</v>
      </c>
      <c r="H69" s="27" t="s">
        <v>17</v>
      </c>
      <c r="I69" s="27" t="s">
        <v>18</v>
      </c>
      <c r="J69" s="27" t="s">
        <v>19</v>
      </c>
      <c r="K69" s="27" t="s">
        <v>20</v>
      </c>
      <c r="L69" s="27" t="s">
        <v>21</v>
      </c>
      <c r="M69" s="28" t="s">
        <v>22</v>
      </c>
      <c r="N69" s="28" t="s">
        <v>66</v>
      </c>
      <c r="O69" s="28" t="s">
        <v>67</v>
      </c>
      <c r="AH69" s="1"/>
    </row>
    <row r="70" spans="1:34" s="11" customFormat="1" ht="36" x14ac:dyDescent="0.25">
      <c r="B70" s="10"/>
      <c r="C70" s="10"/>
      <c r="D70" s="10"/>
      <c r="E70" s="23" t="s">
        <v>33</v>
      </c>
      <c r="F70" s="23" t="s">
        <v>24</v>
      </c>
      <c r="G70" s="23" t="s">
        <v>25</v>
      </c>
      <c r="H70" s="23" t="s">
        <v>26</v>
      </c>
      <c r="I70" s="23" t="s">
        <v>27</v>
      </c>
      <c r="J70" s="23" t="s">
        <v>41</v>
      </c>
      <c r="K70" s="23" t="s">
        <v>28</v>
      </c>
      <c r="L70" s="23" t="s">
        <v>29</v>
      </c>
      <c r="M70" s="23" t="s">
        <v>30</v>
      </c>
      <c r="N70" s="23" t="s">
        <v>34</v>
      </c>
      <c r="O70" s="23" t="s">
        <v>31</v>
      </c>
      <c r="AH70" s="7"/>
    </row>
    <row r="71" spans="1:34" ht="15" customHeight="1" x14ac:dyDescent="0.25">
      <c r="B71" s="51" t="s">
        <v>35</v>
      </c>
      <c r="C71" s="33" t="s">
        <v>54</v>
      </c>
      <c r="D71" s="33" t="s">
        <v>55</v>
      </c>
      <c r="E71" s="21" t="s">
        <v>7</v>
      </c>
      <c r="F71" s="21" t="s">
        <v>7</v>
      </c>
      <c r="G71" s="21" t="s">
        <v>7</v>
      </c>
      <c r="H71" s="21" t="s">
        <v>7</v>
      </c>
      <c r="I71" s="21" t="s">
        <v>7</v>
      </c>
      <c r="J71" s="21" t="s">
        <v>7</v>
      </c>
      <c r="K71" s="21" t="s">
        <v>7</v>
      </c>
      <c r="L71" s="21" t="s">
        <v>7</v>
      </c>
      <c r="M71" s="21" t="s">
        <v>7</v>
      </c>
      <c r="N71" s="21" t="s">
        <v>56</v>
      </c>
      <c r="O71" s="21" t="s">
        <v>56</v>
      </c>
      <c r="AH71" s="11"/>
    </row>
    <row r="72" spans="1:34" ht="15" customHeight="1" x14ac:dyDescent="0.25">
      <c r="A72" s="7"/>
      <c r="B72" s="161" t="s">
        <v>219</v>
      </c>
      <c r="C72" s="161" t="s">
        <v>220</v>
      </c>
      <c r="D72" s="163">
        <v>2014</v>
      </c>
      <c r="E72" s="126"/>
      <c r="F72" s="126">
        <v>36000</v>
      </c>
      <c r="G72" s="126"/>
      <c r="H72" s="126"/>
      <c r="I72" s="126"/>
      <c r="J72" s="126"/>
      <c r="K72" s="126"/>
      <c r="L72" s="126"/>
      <c r="M72" s="126"/>
      <c r="N72" s="126"/>
      <c r="O72" s="144"/>
    </row>
    <row r="73" spans="1:34" ht="15" customHeight="1" x14ac:dyDescent="0.25">
      <c r="A73" s="7"/>
      <c r="B73" s="162"/>
      <c r="C73" s="162"/>
      <c r="D73" s="164"/>
      <c r="E73" s="135"/>
      <c r="F73" s="135"/>
      <c r="G73" s="135"/>
      <c r="H73" s="135"/>
      <c r="I73" s="135"/>
      <c r="J73" s="135"/>
      <c r="K73" s="135"/>
      <c r="L73" s="135"/>
      <c r="M73" s="135"/>
      <c r="N73" s="135"/>
      <c r="O73" s="145"/>
    </row>
    <row r="74" spans="1:34" ht="15" customHeight="1" x14ac:dyDescent="0.25">
      <c r="A74" s="7"/>
      <c r="B74" s="162" t="s">
        <v>221</v>
      </c>
      <c r="C74" s="162"/>
      <c r="D74" s="164"/>
      <c r="E74" s="135"/>
      <c r="F74" s="135"/>
      <c r="G74" s="135"/>
      <c r="H74" s="135"/>
      <c r="I74" s="135"/>
      <c r="J74" s="135"/>
      <c r="K74" s="135"/>
      <c r="L74" s="135"/>
      <c r="M74" s="135"/>
      <c r="N74" s="135"/>
      <c r="O74" s="145"/>
    </row>
    <row r="75" spans="1:34" ht="15" customHeight="1" x14ac:dyDescent="0.25">
      <c r="A75" s="7"/>
      <c r="B75" s="162" t="s">
        <v>222</v>
      </c>
      <c r="C75" s="162" t="s">
        <v>223</v>
      </c>
      <c r="D75" s="164">
        <v>2015</v>
      </c>
      <c r="E75" s="135"/>
      <c r="F75" s="135">
        <v>2583</v>
      </c>
      <c r="G75" s="135"/>
      <c r="H75" s="135"/>
      <c r="I75" s="135"/>
      <c r="J75" s="135"/>
      <c r="K75" s="135"/>
      <c r="L75" s="135"/>
      <c r="M75" s="135"/>
      <c r="N75" s="135"/>
      <c r="O75" s="145"/>
    </row>
    <row r="76" spans="1:34" ht="15" customHeight="1" x14ac:dyDescent="0.25">
      <c r="A76" s="7"/>
      <c r="B76" s="162" t="s">
        <v>224</v>
      </c>
      <c r="C76" s="162" t="s">
        <v>225</v>
      </c>
      <c r="D76" s="164">
        <v>2015</v>
      </c>
      <c r="E76" s="135"/>
      <c r="F76" s="135">
        <v>6330</v>
      </c>
      <c r="G76" s="135"/>
      <c r="H76" s="135"/>
      <c r="I76" s="135"/>
      <c r="J76" s="135"/>
      <c r="K76" s="135"/>
      <c r="L76" s="135"/>
      <c r="M76" s="135"/>
      <c r="N76" s="135"/>
      <c r="O76" s="145"/>
    </row>
    <row r="77" spans="1:34" ht="15" customHeight="1" x14ac:dyDescent="0.25">
      <c r="A77" s="7"/>
      <c r="B77" s="162" t="s">
        <v>226</v>
      </c>
      <c r="C77" s="162" t="s">
        <v>227</v>
      </c>
      <c r="D77" s="164">
        <v>2015</v>
      </c>
      <c r="E77" s="135"/>
      <c r="F77" s="135">
        <v>9422</v>
      </c>
      <c r="G77" s="135"/>
      <c r="H77" s="135"/>
      <c r="I77" s="135"/>
      <c r="J77" s="135"/>
      <c r="K77" s="135"/>
      <c r="L77" s="135"/>
      <c r="M77" s="135"/>
      <c r="N77" s="135"/>
      <c r="O77" s="145"/>
    </row>
    <row r="78" spans="1:34" ht="15" customHeight="1" x14ac:dyDescent="0.25">
      <c r="A78" s="7"/>
      <c r="B78" s="162" t="s">
        <v>228</v>
      </c>
      <c r="C78" s="162" t="s">
        <v>229</v>
      </c>
      <c r="D78" s="164">
        <v>2015</v>
      </c>
      <c r="E78" s="135"/>
      <c r="F78" s="135">
        <v>2207</v>
      </c>
      <c r="G78" s="135"/>
      <c r="H78" s="135"/>
      <c r="I78" s="135"/>
      <c r="J78" s="135"/>
      <c r="K78" s="135"/>
      <c r="L78" s="135"/>
      <c r="M78" s="135"/>
      <c r="N78" s="135"/>
      <c r="O78" s="145"/>
    </row>
    <row r="79" spans="1:34" ht="15" customHeight="1" x14ac:dyDescent="0.25">
      <c r="B79" s="162" t="s">
        <v>230</v>
      </c>
      <c r="C79" s="162" t="s">
        <v>231</v>
      </c>
      <c r="D79" s="164">
        <v>2015</v>
      </c>
      <c r="E79" s="135"/>
      <c r="F79" s="135">
        <v>2731</v>
      </c>
      <c r="G79" s="135"/>
      <c r="H79" s="135"/>
      <c r="I79" s="135"/>
      <c r="J79" s="135"/>
      <c r="K79" s="135"/>
      <c r="L79" s="135"/>
      <c r="M79" s="135"/>
      <c r="N79" s="135"/>
      <c r="O79" s="145"/>
    </row>
    <row r="80" spans="1:34" ht="15" customHeight="1" x14ac:dyDescent="0.25">
      <c r="B80" s="162"/>
      <c r="C80" s="162"/>
      <c r="D80" s="164"/>
      <c r="E80" s="135"/>
      <c r="F80" s="135"/>
      <c r="G80" s="135"/>
      <c r="H80" s="135"/>
      <c r="I80" s="135"/>
      <c r="J80" s="135"/>
      <c r="K80" s="135"/>
      <c r="L80" s="135"/>
      <c r="M80" s="135"/>
      <c r="N80" s="135"/>
      <c r="O80" s="145"/>
    </row>
    <row r="81" spans="2:15" ht="15" customHeight="1" x14ac:dyDescent="0.25">
      <c r="B81" s="162"/>
      <c r="C81" s="162"/>
      <c r="D81" s="164"/>
      <c r="E81" s="135"/>
      <c r="F81" s="135"/>
      <c r="G81" s="135"/>
      <c r="H81" s="135"/>
      <c r="I81" s="135"/>
      <c r="J81" s="135"/>
      <c r="K81" s="135"/>
      <c r="L81" s="135"/>
      <c r="M81" s="135"/>
      <c r="N81" s="135"/>
      <c r="O81" s="145"/>
    </row>
    <row r="82" spans="2:15" ht="15" customHeight="1" x14ac:dyDescent="0.25">
      <c r="B82" s="162" t="s">
        <v>232</v>
      </c>
      <c r="C82" s="162"/>
      <c r="D82" s="164"/>
      <c r="E82" s="135"/>
      <c r="F82" s="135"/>
      <c r="G82" s="135"/>
      <c r="H82" s="135"/>
      <c r="I82" s="135"/>
      <c r="J82" s="135"/>
      <c r="K82" s="135"/>
      <c r="L82" s="135"/>
      <c r="M82" s="135"/>
      <c r="N82" s="135"/>
      <c r="O82" s="145"/>
    </row>
    <row r="83" spans="2:15" ht="15" customHeight="1" x14ac:dyDescent="0.25">
      <c r="B83" s="162" t="s">
        <v>233</v>
      </c>
      <c r="C83" s="162" t="s">
        <v>234</v>
      </c>
      <c r="D83" s="164">
        <v>2015</v>
      </c>
      <c r="E83" s="135"/>
      <c r="F83" s="135">
        <v>36000</v>
      </c>
      <c r="G83" s="135"/>
      <c r="H83" s="135"/>
      <c r="I83" s="135"/>
      <c r="J83" s="135"/>
      <c r="K83" s="135"/>
      <c r="L83" s="135"/>
      <c r="M83" s="135"/>
      <c r="N83" s="135"/>
      <c r="O83" s="145"/>
    </row>
    <row r="84" spans="2:15" ht="15" customHeight="1" x14ac:dyDescent="0.25">
      <c r="B84" s="162" t="s">
        <v>235</v>
      </c>
      <c r="C84" s="162" t="s">
        <v>236</v>
      </c>
      <c r="D84" s="164">
        <v>2015</v>
      </c>
      <c r="E84" s="135"/>
      <c r="F84" s="135">
        <v>33000</v>
      </c>
      <c r="G84" s="135"/>
      <c r="H84" s="135"/>
      <c r="I84" s="135"/>
      <c r="J84" s="135"/>
      <c r="K84" s="135"/>
      <c r="L84" s="135"/>
      <c r="M84" s="135"/>
      <c r="N84" s="135"/>
      <c r="O84" s="145"/>
    </row>
    <row r="85" spans="2:15" ht="15" customHeight="1" x14ac:dyDescent="0.25">
      <c r="B85" s="162"/>
      <c r="C85" s="162"/>
      <c r="D85" s="164"/>
      <c r="E85" s="135"/>
      <c r="F85" s="135"/>
      <c r="G85" s="135"/>
      <c r="H85" s="135"/>
      <c r="I85" s="135"/>
      <c r="J85" s="135"/>
      <c r="K85" s="135"/>
      <c r="L85" s="135"/>
      <c r="M85" s="135"/>
      <c r="N85" s="135"/>
      <c r="O85" s="145"/>
    </row>
    <row r="86" spans="2:15" ht="15" customHeight="1" x14ac:dyDescent="0.25">
      <c r="B86" s="162" t="s">
        <v>237</v>
      </c>
      <c r="C86" s="162"/>
      <c r="D86" s="164"/>
      <c r="E86" s="135"/>
      <c r="F86" s="135"/>
      <c r="G86" s="135"/>
      <c r="H86" s="135"/>
      <c r="I86" s="135"/>
      <c r="J86" s="135"/>
      <c r="K86" s="135"/>
      <c r="L86" s="135"/>
      <c r="M86" s="135"/>
      <c r="N86" s="135"/>
      <c r="O86" s="145"/>
    </row>
    <row r="87" spans="2:15" ht="15" customHeight="1" x14ac:dyDescent="0.25">
      <c r="B87" s="162" t="s">
        <v>238</v>
      </c>
      <c r="C87" s="162" t="s">
        <v>239</v>
      </c>
      <c r="D87" s="164">
        <v>2015</v>
      </c>
      <c r="E87" s="135"/>
      <c r="F87" s="135">
        <v>14000</v>
      </c>
      <c r="G87" s="135"/>
      <c r="H87" s="135"/>
      <c r="I87" s="135"/>
      <c r="J87" s="135"/>
      <c r="K87" s="135"/>
      <c r="L87" s="135"/>
      <c r="M87" s="135"/>
      <c r="N87" s="135"/>
      <c r="O87" s="145"/>
    </row>
    <row r="88" spans="2:15" ht="15" customHeight="1" x14ac:dyDescent="0.25">
      <c r="B88" s="162" t="s">
        <v>240</v>
      </c>
      <c r="C88" s="162" t="s">
        <v>241</v>
      </c>
      <c r="D88" s="164">
        <v>2015</v>
      </c>
      <c r="E88" s="135"/>
      <c r="F88" s="135">
        <v>14000</v>
      </c>
      <c r="G88" s="135"/>
      <c r="H88" s="135"/>
      <c r="I88" s="135"/>
      <c r="J88" s="135"/>
      <c r="K88" s="135"/>
      <c r="L88" s="135"/>
      <c r="M88" s="135"/>
      <c r="N88" s="135"/>
      <c r="O88" s="145"/>
    </row>
    <row r="89" spans="2:15" ht="15" customHeight="1" x14ac:dyDescent="0.25">
      <c r="B89" s="162" t="s">
        <v>242</v>
      </c>
      <c r="C89" s="162" t="s">
        <v>243</v>
      </c>
      <c r="D89" s="164">
        <v>2015</v>
      </c>
      <c r="E89" s="135"/>
      <c r="F89" s="135">
        <v>14000</v>
      </c>
      <c r="G89" s="135"/>
      <c r="H89" s="135"/>
      <c r="I89" s="135"/>
      <c r="J89" s="135"/>
      <c r="K89" s="135"/>
      <c r="L89" s="135"/>
      <c r="M89" s="135"/>
      <c r="N89" s="135"/>
      <c r="O89" s="145"/>
    </row>
    <row r="90" spans="2:15" ht="15" customHeight="1" x14ac:dyDescent="0.25">
      <c r="B90" s="162"/>
      <c r="C90" s="162"/>
      <c r="D90" s="164"/>
      <c r="E90" s="135"/>
      <c r="F90" s="135"/>
      <c r="G90" s="135"/>
      <c r="H90" s="135"/>
      <c r="I90" s="135"/>
      <c r="J90" s="135"/>
      <c r="K90" s="135"/>
      <c r="L90" s="135"/>
      <c r="M90" s="135"/>
      <c r="N90" s="135"/>
      <c r="O90" s="145"/>
    </row>
    <row r="91" spans="2:15" ht="15" customHeight="1" x14ac:dyDescent="0.25">
      <c r="B91" s="162" t="s">
        <v>244</v>
      </c>
      <c r="C91" s="162" t="s">
        <v>245</v>
      </c>
      <c r="D91" s="164">
        <v>2015</v>
      </c>
      <c r="E91" s="135"/>
      <c r="F91" s="135">
        <v>10000</v>
      </c>
      <c r="G91" s="135"/>
      <c r="H91" s="135"/>
      <c r="I91" s="135"/>
      <c r="J91" s="135"/>
      <c r="K91" s="135"/>
      <c r="L91" s="135"/>
      <c r="M91" s="135"/>
      <c r="N91" s="135"/>
      <c r="O91" s="145"/>
    </row>
    <row r="92" spans="2:15" ht="15" customHeight="1" x14ac:dyDescent="0.25">
      <c r="B92" s="135"/>
      <c r="C92" s="135"/>
      <c r="D92" s="135"/>
      <c r="E92" s="135"/>
      <c r="F92" s="135"/>
      <c r="G92" s="135"/>
      <c r="H92" s="135"/>
      <c r="I92" s="135"/>
      <c r="J92" s="135"/>
      <c r="K92" s="135"/>
      <c r="L92" s="135"/>
      <c r="M92" s="135"/>
      <c r="N92" s="135"/>
      <c r="O92" s="145"/>
    </row>
    <row r="93" spans="2:15" ht="15" customHeight="1" x14ac:dyDescent="0.25">
      <c r="B93" s="135"/>
      <c r="C93" s="135"/>
      <c r="D93" s="135"/>
      <c r="E93" s="135"/>
      <c r="F93" s="135"/>
      <c r="G93" s="135"/>
      <c r="H93" s="135"/>
      <c r="I93" s="135"/>
      <c r="J93" s="135"/>
      <c r="K93" s="135"/>
      <c r="L93" s="135"/>
      <c r="M93" s="135"/>
      <c r="N93" s="135"/>
      <c r="O93" s="145"/>
    </row>
    <row r="94" spans="2:15" ht="15" customHeight="1" x14ac:dyDescent="0.25">
      <c r="B94" s="135"/>
      <c r="C94" s="135"/>
      <c r="D94" s="135"/>
      <c r="E94" s="135"/>
      <c r="F94" s="135"/>
      <c r="G94" s="135"/>
      <c r="H94" s="135"/>
      <c r="I94" s="135"/>
      <c r="J94" s="135"/>
      <c r="K94" s="135"/>
      <c r="L94" s="135"/>
      <c r="M94" s="135"/>
      <c r="N94" s="135"/>
      <c r="O94" s="145"/>
    </row>
    <row r="95" spans="2:15" ht="15" customHeight="1" x14ac:dyDescent="0.25">
      <c r="B95" s="135"/>
      <c r="C95" s="135"/>
      <c r="D95" s="135"/>
      <c r="E95" s="135"/>
      <c r="F95" s="135"/>
      <c r="G95" s="135"/>
      <c r="H95" s="135"/>
      <c r="I95" s="135"/>
      <c r="J95" s="135"/>
      <c r="K95" s="135"/>
      <c r="L95" s="135"/>
      <c r="M95" s="135"/>
      <c r="N95" s="135"/>
      <c r="O95" s="145"/>
    </row>
    <row r="96" spans="2:15" ht="15" customHeight="1" x14ac:dyDescent="0.25">
      <c r="B96" s="127"/>
      <c r="C96" s="127"/>
      <c r="D96" s="127"/>
      <c r="E96" s="127"/>
      <c r="F96" s="127"/>
      <c r="G96" s="127"/>
      <c r="H96" s="127"/>
      <c r="I96" s="127"/>
      <c r="J96" s="127"/>
      <c r="K96" s="127"/>
      <c r="L96" s="127"/>
      <c r="M96" s="127"/>
      <c r="N96" s="127"/>
      <c r="O96" s="146"/>
    </row>
    <row r="97" spans="2:34" ht="15" customHeight="1" x14ac:dyDescent="0.25"/>
    <row r="98" spans="2:34" ht="15" customHeight="1" x14ac:dyDescent="0.25">
      <c r="B98" s="11"/>
      <c r="C98" s="11"/>
      <c r="D98" s="11"/>
      <c r="E98" s="10" t="s">
        <v>4</v>
      </c>
      <c r="F98" s="193" t="str">
        <f>C3</f>
        <v>Tacoma Power</v>
      </c>
      <c r="G98" s="194"/>
      <c r="H98" s="195"/>
    </row>
    <row r="99" spans="2:34" ht="15" customHeight="1" x14ac:dyDescent="0.25">
      <c r="E99" s="10" t="s">
        <v>47</v>
      </c>
      <c r="F99" s="196">
        <v>2015</v>
      </c>
      <c r="G99" s="197"/>
      <c r="H99" s="198"/>
    </row>
    <row r="100" spans="2:34" ht="15" customHeight="1" x14ac:dyDescent="0.25">
      <c r="B100" s="11" t="s">
        <v>62</v>
      </c>
      <c r="C100" s="11"/>
      <c r="D100" s="11"/>
      <c r="E100" s="10"/>
      <c r="F100" s="45"/>
    </row>
    <row r="101" spans="2:34" ht="15" customHeight="1" x14ac:dyDescent="0.25">
      <c r="B101" s="24"/>
      <c r="C101" s="24"/>
      <c r="D101" s="24"/>
      <c r="E101" s="24"/>
      <c r="F101" s="24"/>
      <c r="G101" s="24"/>
      <c r="H101" s="24"/>
      <c r="I101" s="24"/>
      <c r="J101" s="24"/>
      <c r="K101" s="24"/>
      <c r="L101" s="24"/>
      <c r="M101" s="24"/>
    </row>
    <row r="102" spans="2:34" ht="15" customHeight="1" x14ac:dyDescent="0.25">
      <c r="B102" s="24"/>
      <c r="C102" s="24"/>
      <c r="D102" s="24"/>
      <c r="E102" s="24"/>
      <c r="F102" s="24"/>
      <c r="G102" s="24"/>
      <c r="H102" s="24"/>
      <c r="I102" s="24"/>
      <c r="J102" s="24"/>
      <c r="K102" s="24"/>
      <c r="L102" s="24"/>
      <c r="M102" s="24"/>
    </row>
    <row r="103" spans="2:34" s="7" customFormat="1" ht="15" customHeight="1" x14ac:dyDescent="0.25">
      <c r="B103" s="24"/>
      <c r="C103" s="24"/>
      <c r="D103" s="24"/>
      <c r="E103" s="24"/>
      <c r="F103" s="24"/>
      <c r="G103" s="24"/>
      <c r="H103" s="24"/>
      <c r="I103" s="24"/>
      <c r="J103" s="24"/>
      <c r="K103" s="24"/>
      <c r="L103" s="24"/>
      <c r="M103" s="24"/>
      <c r="AH103" s="1"/>
    </row>
    <row r="104" spans="2:34" s="7" customFormat="1" ht="15" customHeight="1" x14ac:dyDescent="0.25">
      <c r="B104" s="24"/>
      <c r="C104" s="24"/>
      <c r="D104" s="24"/>
      <c r="E104" s="24"/>
      <c r="F104" s="24"/>
      <c r="G104" s="24"/>
      <c r="H104" s="24"/>
      <c r="I104" s="24"/>
      <c r="J104" s="24"/>
      <c r="K104" s="24"/>
      <c r="L104" s="24"/>
      <c r="M104" s="24"/>
    </row>
    <row r="105" spans="2:34" s="7" customFormat="1" x14ac:dyDescent="0.25">
      <c r="B105" s="24"/>
      <c r="C105" s="24"/>
      <c r="D105" s="24"/>
      <c r="E105" s="24"/>
      <c r="F105" s="24"/>
      <c r="G105" s="24"/>
      <c r="H105" s="24"/>
      <c r="I105" s="24"/>
      <c r="J105" s="24"/>
      <c r="K105" s="24"/>
      <c r="L105" s="24"/>
      <c r="M105" s="24"/>
    </row>
    <row r="106" spans="2:34" s="7" customFormat="1" x14ac:dyDescent="0.25">
      <c r="B106" s="24"/>
      <c r="C106" s="24"/>
      <c r="D106" s="24"/>
      <c r="E106" s="24"/>
      <c r="F106" s="24"/>
      <c r="G106" s="24"/>
      <c r="H106" s="24"/>
      <c r="I106" s="24"/>
      <c r="J106" s="24"/>
      <c r="K106" s="24"/>
      <c r="L106" s="24"/>
      <c r="M106" s="24"/>
    </row>
    <row r="107" spans="2:34" s="7" customFormat="1" x14ac:dyDescent="0.25">
      <c r="B107" s="24"/>
      <c r="C107" s="24"/>
      <c r="D107" s="24"/>
      <c r="E107" s="24"/>
      <c r="F107" s="24"/>
      <c r="G107" s="24"/>
      <c r="H107" s="24"/>
      <c r="I107" s="24"/>
      <c r="J107" s="24"/>
      <c r="K107" s="24"/>
      <c r="L107" s="24"/>
      <c r="M107" s="24"/>
    </row>
    <row r="108" spans="2:34" x14ac:dyDescent="0.25">
      <c r="B108" s="24"/>
      <c r="C108" s="24"/>
      <c r="D108" s="24"/>
      <c r="E108" s="24"/>
      <c r="F108" s="24"/>
      <c r="G108" s="24"/>
      <c r="H108" s="24"/>
      <c r="I108" s="24"/>
      <c r="J108" s="24"/>
      <c r="K108" s="24"/>
      <c r="L108" s="24"/>
      <c r="M108" s="24"/>
      <c r="AH108" s="7"/>
    </row>
    <row r="109" spans="2:34" x14ac:dyDescent="0.25">
      <c r="B109" s="24"/>
      <c r="C109" s="24"/>
      <c r="D109" s="24"/>
      <c r="E109" s="24"/>
      <c r="F109" s="24"/>
      <c r="G109" s="24"/>
      <c r="H109" s="24"/>
      <c r="I109" s="24"/>
      <c r="J109" s="24"/>
      <c r="K109" s="24"/>
      <c r="L109" s="24"/>
      <c r="M109" s="24"/>
    </row>
    <row r="110" spans="2:34" x14ac:dyDescent="0.25">
      <c r="B110" s="24"/>
      <c r="C110" s="24"/>
      <c r="D110" s="24"/>
      <c r="E110" s="24"/>
      <c r="F110" s="24"/>
      <c r="G110" s="24"/>
      <c r="H110" s="24"/>
      <c r="I110" s="24"/>
      <c r="J110" s="24"/>
      <c r="K110" s="24"/>
      <c r="L110" s="24"/>
      <c r="M110" s="24"/>
    </row>
    <row r="111" spans="2:34" x14ac:dyDescent="0.25">
      <c r="B111" s="24"/>
      <c r="C111" s="24"/>
      <c r="D111" s="24"/>
      <c r="E111" s="24"/>
      <c r="F111" s="24"/>
      <c r="G111" s="24"/>
      <c r="H111" s="24"/>
      <c r="I111" s="24"/>
      <c r="J111" s="24"/>
      <c r="K111" s="24"/>
      <c r="L111" s="24"/>
      <c r="M111" s="24"/>
    </row>
    <row r="112" spans="2:34" x14ac:dyDescent="0.25">
      <c r="B112" s="24"/>
      <c r="C112" s="24"/>
      <c r="D112" s="24"/>
      <c r="E112" s="24"/>
      <c r="F112" s="24"/>
      <c r="G112" s="24"/>
      <c r="H112" s="24"/>
      <c r="I112" s="24"/>
      <c r="J112" s="24"/>
      <c r="K112" s="24"/>
      <c r="L112" s="24"/>
      <c r="M112" s="24"/>
    </row>
    <row r="113" spans="2:13" x14ac:dyDescent="0.25">
      <c r="B113" s="24"/>
      <c r="C113" s="24"/>
      <c r="D113" s="24"/>
      <c r="E113" s="24"/>
      <c r="F113" s="24"/>
      <c r="G113" s="24"/>
      <c r="H113" s="24"/>
      <c r="I113" s="24"/>
      <c r="J113" s="24"/>
      <c r="K113" s="24"/>
      <c r="L113" s="24"/>
      <c r="M113" s="24"/>
    </row>
    <row r="114" spans="2:13" x14ac:dyDescent="0.25">
      <c r="B114" s="24"/>
      <c r="C114" s="24"/>
      <c r="D114" s="24"/>
      <c r="E114" s="24"/>
      <c r="F114" s="24"/>
      <c r="G114" s="24"/>
      <c r="H114" s="24"/>
      <c r="I114" s="24"/>
      <c r="J114" s="24"/>
      <c r="K114" s="24"/>
      <c r="L114" s="24"/>
      <c r="M114" s="24"/>
    </row>
    <row r="115" spans="2:13" x14ac:dyDescent="0.25">
      <c r="B115" s="2" t="s">
        <v>63</v>
      </c>
      <c r="C115" s="24"/>
      <c r="D115" s="24"/>
      <c r="E115" s="24"/>
      <c r="F115" s="24"/>
      <c r="G115" s="24"/>
      <c r="H115" s="24"/>
      <c r="I115" s="24"/>
      <c r="J115" s="24"/>
      <c r="K115" s="24"/>
      <c r="L115" s="24"/>
      <c r="M115" s="24"/>
    </row>
    <row r="116" spans="2:13" x14ac:dyDescent="0.25">
      <c r="B116" s="24"/>
      <c r="C116" s="24"/>
      <c r="D116" s="24"/>
      <c r="E116" s="24"/>
      <c r="F116" s="24"/>
      <c r="G116" s="24"/>
      <c r="H116" s="24"/>
      <c r="I116" s="24"/>
      <c r="J116" s="24"/>
      <c r="K116" s="24"/>
      <c r="L116" s="24"/>
      <c r="M116" s="24"/>
    </row>
    <row r="117" spans="2:13" x14ac:dyDescent="0.25">
      <c r="B117" s="24"/>
      <c r="C117" s="24"/>
      <c r="D117" s="24"/>
      <c r="E117" s="24"/>
      <c r="F117" s="24"/>
      <c r="G117" s="24"/>
      <c r="H117" s="24"/>
      <c r="I117" s="24"/>
      <c r="J117" s="24"/>
      <c r="K117" s="24"/>
      <c r="L117" s="24"/>
      <c r="M117" s="24"/>
    </row>
    <row r="118" spans="2:13" x14ac:dyDescent="0.25">
      <c r="B118" s="24"/>
      <c r="C118" s="24"/>
      <c r="D118" s="24"/>
      <c r="E118" s="24"/>
      <c r="F118" s="24"/>
      <c r="G118" s="24"/>
      <c r="H118" s="24"/>
      <c r="I118" s="24"/>
      <c r="J118" s="24"/>
      <c r="K118" s="24"/>
      <c r="L118" s="24"/>
      <c r="M118" s="24"/>
    </row>
    <row r="119" spans="2:13" x14ac:dyDescent="0.25">
      <c r="B119" s="24"/>
      <c r="C119" s="24"/>
      <c r="D119" s="24"/>
      <c r="E119" s="24"/>
      <c r="F119" s="24"/>
      <c r="G119" s="24"/>
      <c r="H119" s="24"/>
      <c r="I119" s="24"/>
      <c r="J119" s="24"/>
      <c r="K119" s="24"/>
      <c r="L119" s="24"/>
      <c r="M119" s="24"/>
    </row>
    <row r="120" spans="2:13" x14ac:dyDescent="0.25">
      <c r="B120" s="24"/>
      <c r="C120" s="24"/>
      <c r="D120" s="24"/>
      <c r="E120" s="24"/>
      <c r="F120" s="24"/>
      <c r="G120" s="24"/>
      <c r="H120" s="24"/>
      <c r="I120" s="24"/>
      <c r="J120" s="24"/>
      <c r="K120" s="24"/>
      <c r="L120" s="24"/>
      <c r="M120" s="24"/>
    </row>
    <row r="121" spans="2:13" x14ac:dyDescent="0.25">
      <c r="B121" s="24"/>
      <c r="C121" s="24"/>
      <c r="D121" s="24"/>
      <c r="E121" s="24"/>
      <c r="F121" s="24"/>
      <c r="G121" s="24"/>
      <c r="H121" s="24"/>
      <c r="I121" s="24"/>
      <c r="J121" s="24"/>
      <c r="K121" s="24"/>
      <c r="L121" s="24"/>
      <c r="M121" s="24"/>
    </row>
    <row r="122" spans="2:13" x14ac:dyDescent="0.25">
      <c r="B122" s="24"/>
      <c r="C122" s="24"/>
      <c r="D122" s="24"/>
      <c r="E122" s="24"/>
      <c r="F122" s="24"/>
      <c r="G122" s="24"/>
      <c r="H122" s="24"/>
      <c r="I122" s="24"/>
      <c r="J122" s="24"/>
      <c r="K122" s="24"/>
      <c r="L122" s="24"/>
      <c r="M122" s="24"/>
    </row>
    <row r="123" spans="2:13" x14ac:dyDescent="0.25">
      <c r="B123" s="24"/>
      <c r="C123" s="24"/>
      <c r="D123" s="24"/>
      <c r="E123" s="24"/>
      <c r="F123" s="24"/>
      <c r="G123" s="24"/>
      <c r="H123" s="24"/>
      <c r="I123" s="24"/>
      <c r="J123" s="24"/>
      <c r="K123" s="24"/>
      <c r="L123" s="24"/>
      <c r="M123" s="24"/>
    </row>
    <row r="124" spans="2:13" x14ac:dyDescent="0.25">
      <c r="B124" s="24"/>
      <c r="C124" s="24"/>
      <c r="D124" s="24"/>
      <c r="E124" s="24"/>
      <c r="F124" s="24"/>
      <c r="G124" s="24"/>
      <c r="H124" s="24"/>
      <c r="I124" s="24"/>
      <c r="J124" s="24"/>
      <c r="K124" s="24"/>
      <c r="L124" s="24"/>
      <c r="M124" s="24"/>
    </row>
    <row r="125" spans="2:13" x14ac:dyDescent="0.25">
      <c r="B125" s="24"/>
      <c r="C125" s="24"/>
      <c r="D125" s="24"/>
      <c r="E125" s="24"/>
      <c r="F125" s="24"/>
      <c r="G125" s="24"/>
      <c r="H125" s="24"/>
      <c r="I125" s="24"/>
      <c r="J125" s="24"/>
      <c r="K125" s="24"/>
      <c r="L125" s="24"/>
      <c r="M125" s="24"/>
    </row>
    <row r="126" spans="2:13" x14ac:dyDescent="0.25">
      <c r="B126" s="24"/>
      <c r="C126" s="24"/>
      <c r="D126" s="24"/>
      <c r="E126" s="24"/>
      <c r="F126" s="24"/>
      <c r="G126" s="24"/>
      <c r="H126" s="24"/>
      <c r="I126" s="24"/>
      <c r="J126" s="24"/>
      <c r="K126" s="24"/>
      <c r="L126" s="24"/>
      <c r="M126" s="24"/>
    </row>
    <row r="127" spans="2:13" x14ac:dyDescent="0.25">
      <c r="B127" s="24"/>
      <c r="C127" s="24"/>
      <c r="D127" s="24"/>
      <c r="E127" s="24"/>
      <c r="F127" s="24"/>
      <c r="G127" s="24"/>
      <c r="H127" s="24"/>
      <c r="I127" s="24"/>
      <c r="J127" s="24"/>
      <c r="K127" s="24"/>
      <c r="L127" s="24"/>
      <c r="M127" s="24"/>
    </row>
    <row r="128" spans="2:13" x14ac:dyDescent="0.25">
      <c r="B128" s="24"/>
      <c r="C128" s="24"/>
      <c r="D128" s="24"/>
      <c r="E128" s="24"/>
      <c r="F128" s="24"/>
      <c r="G128" s="24"/>
      <c r="H128" s="24"/>
      <c r="I128" s="24"/>
      <c r="J128" s="24"/>
      <c r="K128" s="24"/>
      <c r="L128" s="24"/>
      <c r="M128" s="24"/>
    </row>
    <row r="129" spans="2:13" x14ac:dyDescent="0.25">
      <c r="B129" s="24"/>
      <c r="C129" s="24"/>
      <c r="D129" s="24"/>
      <c r="E129" s="24"/>
      <c r="F129" s="24"/>
      <c r="G129" s="24"/>
      <c r="H129" s="24"/>
      <c r="I129" s="24"/>
      <c r="J129" s="24"/>
      <c r="K129" s="24"/>
      <c r="L129" s="24"/>
      <c r="M129" s="24"/>
    </row>
    <row r="130" spans="2:13" x14ac:dyDescent="0.25">
      <c r="B130" s="24"/>
      <c r="C130" s="24"/>
      <c r="D130" s="24"/>
      <c r="E130" s="24"/>
      <c r="F130" s="24"/>
      <c r="G130" s="24"/>
      <c r="H130" s="24"/>
      <c r="I130" s="24"/>
      <c r="J130" s="24"/>
      <c r="K130" s="24"/>
      <c r="L130" s="24"/>
      <c r="M130" s="24"/>
    </row>
    <row r="131" spans="2:13" x14ac:dyDescent="0.25">
      <c r="B131" s="24"/>
      <c r="C131" s="24"/>
      <c r="D131" s="24"/>
      <c r="E131" s="24"/>
      <c r="F131" s="24"/>
      <c r="G131" s="24"/>
      <c r="H131" s="24"/>
      <c r="I131" s="24"/>
      <c r="J131" s="24"/>
      <c r="K131" s="24"/>
      <c r="L131" s="24"/>
      <c r="M131" s="24"/>
    </row>
    <row r="132" spans="2:13" x14ac:dyDescent="0.25">
      <c r="B132" s="24"/>
      <c r="C132" s="24"/>
      <c r="D132" s="24"/>
      <c r="E132" s="24"/>
      <c r="F132" s="24"/>
      <c r="G132" s="24"/>
      <c r="H132" s="24"/>
      <c r="I132" s="24"/>
      <c r="J132" s="24"/>
      <c r="K132" s="24"/>
      <c r="L132" s="24"/>
      <c r="M132" s="24"/>
    </row>
    <row r="133" spans="2:13" x14ac:dyDescent="0.25">
      <c r="B133" s="24"/>
      <c r="C133" s="24"/>
      <c r="D133" s="24"/>
      <c r="E133" s="24"/>
      <c r="F133" s="24"/>
      <c r="G133" s="24"/>
      <c r="H133" s="24"/>
      <c r="I133" s="24"/>
      <c r="J133" s="24"/>
      <c r="K133" s="24"/>
      <c r="L133" s="24"/>
      <c r="M133" s="24"/>
    </row>
    <row r="134" spans="2:13" x14ac:dyDescent="0.25">
      <c r="B134" s="24"/>
      <c r="C134" s="24"/>
      <c r="D134" s="24"/>
      <c r="E134" s="24"/>
      <c r="F134" s="24"/>
      <c r="G134" s="24"/>
      <c r="H134" s="24"/>
      <c r="I134" s="24"/>
      <c r="J134" s="24"/>
      <c r="K134" s="24"/>
      <c r="L134" s="24"/>
      <c r="M134" s="24"/>
    </row>
    <row r="135" spans="2:13" x14ac:dyDescent="0.25">
      <c r="B135" s="24"/>
      <c r="C135" s="24"/>
      <c r="D135" s="24"/>
      <c r="E135" s="24"/>
      <c r="F135" s="24"/>
      <c r="G135" s="24"/>
      <c r="H135" s="24"/>
      <c r="I135" s="24"/>
      <c r="J135" s="24"/>
      <c r="K135" s="24"/>
      <c r="L135" s="24"/>
      <c r="M135" s="24"/>
    </row>
    <row r="136" spans="2:13" x14ac:dyDescent="0.25">
      <c r="B136" s="24"/>
      <c r="C136" s="24"/>
      <c r="D136" s="24"/>
      <c r="E136" s="24"/>
      <c r="F136" s="24"/>
      <c r="G136" s="24"/>
      <c r="H136" s="24"/>
      <c r="I136" s="24"/>
      <c r="J136" s="24"/>
      <c r="K136" s="24"/>
      <c r="L136" s="24"/>
      <c r="M136" s="24"/>
    </row>
  </sheetData>
  <mergeCells count="16">
    <mergeCell ref="I14:M14"/>
    <mergeCell ref="F66:H66"/>
    <mergeCell ref="F67:H67"/>
    <mergeCell ref="F98:H98"/>
    <mergeCell ref="F99:H99"/>
    <mergeCell ref="F36:H36"/>
    <mergeCell ref="F37:H37"/>
    <mergeCell ref="B39:G39"/>
    <mergeCell ref="C43:D43"/>
    <mergeCell ref="I2:N2"/>
    <mergeCell ref="G10:N10"/>
    <mergeCell ref="C3:E3"/>
    <mergeCell ref="C4:E4"/>
    <mergeCell ref="C5:E5"/>
    <mergeCell ref="C6:E6"/>
    <mergeCell ref="C7:E7"/>
  </mergeCells>
  <hyperlinks>
    <hyperlink ref="C7" r:id="rId1"/>
  </hyperlinks>
  <pageMargins left="0.7" right="0.7" top="0.75" bottom="0.75" header="0.3" footer="0.3"/>
  <pageSetup scale="69" fitToHeight="0" orientation="landscape" r:id="rId2"/>
  <rowBreaks count="3" manualBreakCount="3">
    <brk id="34" max="12" man="1"/>
    <brk id="64" max="12" man="1"/>
    <brk id="97" max="12" man="1"/>
  </rowBreaks>
  <drawing r:id="rId3"/>
  <legacyDrawing r:id="rId4"/>
  <mc:AlternateContent xmlns:mc="http://schemas.openxmlformats.org/markup-compatibility/2006">
    <mc:Choice Requires="x14">
      <controls>
        <mc:AlternateContent xmlns:mc="http://schemas.openxmlformats.org/markup-compatibility/2006">
          <mc:Choice Requires="x14">
            <control shapeId="5448" r:id="rId5" name="Check Box 328">
              <controlPr defaultSize="0" autoFill="0" autoLine="0" autoPict="0">
                <anchor moveWithCells="1" sizeWithCells="1">
                  <from>
                    <xdr:col>2</xdr:col>
                    <xdr:colOff>22860</xdr:colOff>
                    <xdr:row>8</xdr:row>
                    <xdr:rowOff>7620</xdr:rowOff>
                  </from>
                  <to>
                    <xdr:col>4</xdr:col>
                    <xdr:colOff>571500</xdr:colOff>
                    <xdr:row>9</xdr:row>
                    <xdr:rowOff>22860</xdr:rowOff>
                  </to>
                </anchor>
              </controlPr>
            </control>
          </mc:Choice>
        </mc:AlternateContent>
        <mc:AlternateContent xmlns:mc="http://schemas.openxmlformats.org/markup-compatibility/2006">
          <mc:Choice Requires="x14">
            <control shapeId="5449" r:id="rId6" name="Check Box 329">
              <controlPr defaultSize="0" autoFill="0" autoLine="0" autoPict="0">
                <anchor moveWithCells="1" sizeWithCells="1">
                  <from>
                    <xdr:col>2</xdr:col>
                    <xdr:colOff>22860</xdr:colOff>
                    <xdr:row>9</xdr:row>
                    <xdr:rowOff>30480</xdr:rowOff>
                  </from>
                  <to>
                    <xdr:col>5</xdr:col>
                    <xdr:colOff>0</xdr:colOff>
                    <xdr:row>10</xdr:row>
                    <xdr:rowOff>30480</xdr:rowOff>
                  </to>
                </anchor>
              </controlPr>
            </control>
          </mc:Choice>
        </mc:AlternateContent>
        <mc:AlternateContent xmlns:mc="http://schemas.openxmlformats.org/markup-compatibility/2006">
          <mc:Choice Requires="x14">
            <control shapeId="5450" r:id="rId7" name="Check Box 330">
              <controlPr defaultSize="0" autoFill="0" autoLine="0" autoPict="0">
                <anchor moveWithCells="1" sizeWithCells="1">
                  <from>
                    <xdr:col>2</xdr:col>
                    <xdr:colOff>22860</xdr:colOff>
                    <xdr:row>10</xdr:row>
                    <xdr:rowOff>68580</xdr:rowOff>
                  </from>
                  <to>
                    <xdr:col>5</xdr:col>
                    <xdr:colOff>114300</xdr:colOff>
                    <xdr:row>11</xdr:row>
                    <xdr:rowOff>7620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L77"/>
  <sheetViews>
    <sheetView showGridLines="0" view="pageBreakPreview" zoomScaleNormal="100" zoomScaleSheetLayoutView="100" workbookViewId="0">
      <selection activeCell="F35" sqref="F35:F59"/>
    </sheetView>
  </sheetViews>
  <sheetFormatPr defaultColWidth="9.109375" defaultRowHeight="13.2" x14ac:dyDescent="0.25"/>
  <cols>
    <col min="1" max="1" width="2.6640625" style="1" customWidth="1"/>
    <col min="2" max="2" width="30.109375" style="1" customWidth="1"/>
    <col min="3" max="3" width="10.88671875" style="1" customWidth="1"/>
    <col min="4" max="4" width="10.33203125" style="1" customWidth="1"/>
    <col min="5" max="5" width="14" style="1" customWidth="1"/>
    <col min="6" max="6" width="14.109375" style="1" customWidth="1"/>
    <col min="7" max="9" width="10.6640625" style="1" customWidth="1"/>
    <col min="10" max="10" width="15.6640625" style="1" customWidth="1"/>
    <col min="11" max="11" width="10.6640625" style="1" customWidth="1"/>
    <col min="12" max="12" width="16.5546875" style="1" customWidth="1"/>
    <col min="13" max="16384" width="9.109375" style="1"/>
  </cols>
  <sheetData>
    <row r="1" spans="2:12" s="7" customFormat="1" ht="19.5" x14ac:dyDescent="0.4">
      <c r="B1" s="48" t="s">
        <v>166</v>
      </c>
      <c r="C1" s="48"/>
      <c r="D1" s="48"/>
    </row>
    <row r="2" spans="2:12" ht="15" customHeight="1" x14ac:dyDescent="0.2"/>
    <row r="3" spans="2:12" ht="16.5" customHeight="1" x14ac:dyDescent="0.25">
      <c r="B3" s="153" t="s">
        <v>167</v>
      </c>
      <c r="C3" s="6"/>
      <c r="D3" s="6"/>
      <c r="E3" s="10" t="s">
        <v>4</v>
      </c>
      <c r="F3" s="193" t="str">
        <f>'Renewables Report'!$C$3</f>
        <v>Tacoma Power</v>
      </c>
      <c r="G3" s="194"/>
      <c r="H3" s="195"/>
    </row>
    <row r="4" spans="2:12" ht="15" customHeight="1" x14ac:dyDescent="0.2">
      <c r="E4" s="10" t="s">
        <v>13</v>
      </c>
      <c r="F4" s="206">
        <v>2015</v>
      </c>
      <c r="G4" s="207"/>
      <c r="H4" s="208"/>
    </row>
    <row r="5" spans="2:12" ht="15" customHeight="1" x14ac:dyDescent="0.2">
      <c r="E5" s="10"/>
      <c r="F5" s="89"/>
      <c r="G5" s="9"/>
      <c r="H5" s="9"/>
    </row>
    <row r="6" spans="2:12" ht="48" x14ac:dyDescent="0.2">
      <c r="B6" s="51" t="s">
        <v>35</v>
      </c>
      <c r="C6" s="94" t="s">
        <v>54</v>
      </c>
      <c r="D6" s="112" t="s">
        <v>7</v>
      </c>
      <c r="E6" s="107" t="s">
        <v>147</v>
      </c>
      <c r="F6" s="107" t="s">
        <v>149</v>
      </c>
      <c r="G6" s="212" t="s">
        <v>146</v>
      </c>
      <c r="H6" s="212"/>
      <c r="I6" s="212"/>
      <c r="J6" s="107" t="s">
        <v>148</v>
      </c>
      <c r="K6" s="107" t="s">
        <v>150</v>
      </c>
      <c r="L6" s="107" t="s">
        <v>151</v>
      </c>
    </row>
    <row r="7" spans="2:12" ht="15" customHeight="1" x14ac:dyDescent="0.2">
      <c r="B7" s="95" t="str">
        <f>'Renewables Report'!B44</f>
        <v>Mossyrock Rebuild</v>
      </c>
      <c r="C7" s="96">
        <f>'Renewables Report'!C44</f>
        <v>0</v>
      </c>
      <c r="D7" s="97">
        <f>SUM('Renewables Report'!E44:M44)</f>
        <v>0</v>
      </c>
      <c r="E7" s="147"/>
      <c r="F7" s="101" t="str">
        <f>IF(D7&gt;0,E7/D7,"")</f>
        <v/>
      </c>
      <c r="G7" s="213"/>
      <c r="H7" s="214"/>
      <c r="I7" s="215"/>
      <c r="J7" s="147"/>
      <c r="K7" s="101" t="str">
        <f>IF(D7&gt;0,J7/D7,"")</f>
        <v/>
      </c>
      <c r="L7" s="101">
        <f>MAX(0,E7-J7)</f>
        <v>0</v>
      </c>
    </row>
    <row r="8" spans="2:12" ht="15" customHeight="1" x14ac:dyDescent="0.2">
      <c r="B8" s="98" t="str">
        <f>'Renewables Report'!B45</f>
        <v>Improved Turbine Efficiency</v>
      </c>
      <c r="C8" s="99">
        <f>'Renewables Report'!C45</f>
        <v>0</v>
      </c>
      <c r="D8" s="100">
        <f>SUM('Renewables Report'!E45:M45)</f>
        <v>26488</v>
      </c>
      <c r="E8" s="148">
        <v>45554</v>
      </c>
      <c r="F8" s="102">
        <f t="shared" ref="F8:F27" si="0">IF(D8&gt;0,E8/D8,"")</f>
        <v>1.7197976442162488</v>
      </c>
      <c r="G8" s="203"/>
      <c r="H8" s="204"/>
      <c r="I8" s="205"/>
      <c r="J8" s="148"/>
      <c r="K8" s="102">
        <f t="shared" ref="K8:K27" si="1">IF(D8&gt;0,J8/D8,"")</f>
        <v>0</v>
      </c>
      <c r="L8" s="102">
        <f t="shared" ref="L8:L27" si="2">MAX(0,E8-J8)</f>
        <v>45554</v>
      </c>
    </row>
    <row r="9" spans="2:12" ht="15" customHeight="1" x14ac:dyDescent="0.2">
      <c r="B9" s="98" t="str">
        <f>'Renewables Report'!B46</f>
        <v>Reduced Wicket Gate Leakage</v>
      </c>
      <c r="C9" s="99">
        <f>'Renewables Report'!C46</f>
        <v>0</v>
      </c>
      <c r="D9" s="100">
        <f>SUM('Renewables Report'!E46:M46)</f>
        <v>20000</v>
      </c>
      <c r="E9" s="148">
        <v>0</v>
      </c>
      <c r="F9" s="102">
        <f t="shared" si="0"/>
        <v>0</v>
      </c>
      <c r="G9" s="203"/>
      <c r="H9" s="204"/>
      <c r="I9" s="205"/>
      <c r="J9" s="148"/>
      <c r="K9" s="102">
        <f t="shared" si="1"/>
        <v>0</v>
      </c>
      <c r="L9" s="102">
        <f t="shared" si="2"/>
        <v>0</v>
      </c>
    </row>
    <row r="10" spans="2:12" ht="15" customHeight="1" x14ac:dyDescent="0.2">
      <c r="B10" s="98" t="str">
        <f>'Renewables Report'!B47</f>
        <v>Improved Transformer Efficiency</v>
      </c>
      <c r="C10" s="99">
        <f>'Renewables Report'!C47</f>
        <v>0</v>
      </c>
      <c r="D10" s="100">
        <f>SUM('Renewables Report'!E47:M47)</f>
        <v>270</v>
      </c>
      <c r="E10" s="148">
        <v>0</v>
      </c>
      <c r="F10" s="102">
        <f t="shared" si="0"/>
        <v>0</v>
      </c>
      <c r="G10" s="203"/>
      <c r="H10" s="204"/>
      <c r="I10" s="205"/>
      <c r="J10" s="148"/>
      <c r="K10" s="102">
        <f t="shared" si="1"/>
        <v>0</v>
      </c>
      <c r="L10" s="102">
        <f t="shared" si="2"/>
        <v>0</v>
      </c>
    </row>
    <row r="11" spans="2:12" ht="15" customHeight="1" x14ac:dyDescent="0.2">
      <c r="B11" s="98" t="str">
        <f>'Renewables Report'!B48</f>
        <v>Cushman No. 2</v>
      </c>
      <c r="C11" s="99">
        <f>'Renewables Report'!C48</f>
        <v>0</v>
      </c>
      <c r="D11" s="100">
        <f>SUM('Renewables Report'!E48:M48)</f>
        <v>0</v>
      </c>
      <c r="E11" s="148">
        <v>0</v>
      </c>
      <c r="F11" s="102" t="str">
        <f t="shared" si="0"/>
        <v/>
      </c>
      <c r="G11" s="203"/>
      <c r="H11" s="204"/>
      <c r="I11" s="205"/>
      <c r="J11" s="148"/>
      <c r="K11" s="102" t="str">
        <f t="shared" si="1"/>
        <v/>
      </c>
      <c r="L11" s="102">
        <f t="shared" si="2"/>
        <v>0</v>
      </c>
    </row>
    <row r="12" spans="2:12" ht="15" customHeight="1" x14ac:dyDescent="0.2">
      <c r="B12" s="98" t="str">
        <f>'Renewables Report'!B49</f>
        <v xml:space="preserve">              Reduced Butterfly Leakage</v>
      </c>
      <c r="C12" s="99">
        <f>'Renewables Report'!C49</f>
        <v>0</v>
      </c>
      <c r="D12" s="100">
        <f>SUM('Renewables Report'!E49:M49)</f>
        <v>2000</v>
      </c>
      <c r="E12" s="148">
        <v>0</v>
      </c>
      <c r="F12" s="102">
        <f t="shared" si="0"/>
        <v>0</v>
      </c>
      <c r="G12" s="203"/>
      <c r="H12" s="204"/>
      <c r="I12" s="205"/>
      <c r="J12" s="148"/>
      <c r="K12" s="102">
        <f t="shared" si="1"/>
        <v>0</v>
      </c>
      <c r="L12" s="102">
        <f t="shared" si="2"/>
        <v>0</v>
      </c>
    </row>
    <row r="13" spans="2:12" ht="15" customHeight="1" x14ac:dyDescent="0.2">
      <c r="B13" s="98" t="str">
        <f>'Renewables Report'!B50</f>
        <v xml:space="preserve">                   Cushman NorthFork</v>
      </c>
      <c r="C13" s="99">
        <f>'Renewables Report'!C50</f>
        <v>0</v>
      </c>
      <c r="D13" s="100">
        <f>SUM('Renewables Report'!E50:M50)</f>
        <v>0</v>
      </c>
      <c r="E13" s="148"/>
      <c r="F13" s="102" t="str">
        <f t="shared" si="0"/>
        <v/>
      </c>
      <c r="G13" s="203"/>
      <c r="H13" s="204"/>
      <c r="I13" s="205"/>
      <c r="J13" s="148"/>
      <c r="K13" s="102" t="str">
        <f t="shared" si="1"/>
        <v/>
      </c>
      <c r="L13" s="102">
        <f t="shared" si="2"/>
        <v>0</v>
      </c>
    </row>
    <row r="14" spans="2:12" ht="15" customHeight="1" x14ac:dyDescent="0.2">
      <c r="B14" s="98" t="str">
        <f>'Renewables Report'!B51</f>
        <v xml:space="preserve">                                      Unit 34</v>
      </c>
      <c r="C14" s="99">
        <f>'Renewables Report'!C51</f>
        <v>0</v>
      </c>
      <c r="D14" s="100">
        <f>SUM('Renewables Report'!E51:M51)</f>
        <v>8000</v>
      </c>
      <c r="E14" s="148">
        <v>11333</v>
      </c>
      <c r="F14" s="102">
        <f t="shared" si="0"/>
        <v>1.416625</v>
      </c>
      <c r="G14" s="203"/>
      <c r="H14" s="204"/>
      <c r="I14" s="205"/>
      <c r="J14" s="148"/>
      <c r="K14" s="102">
        <f t="shared" si="1"/>
        <v>0</v>
      </c>
      <c r="L14" s="102">
        <f t="shared" si="2"/>
        <v>11333</v>
      </c>
    </row>
    <row r="15" spans="2:12" ht="15" customHeight="1" x14ac:dyDescent="0.25">
      <c r="B15" s="98" t="str">
        <f>'Renewables Report'!B52</f>
        <v xml:space="preserve">                                      Unit 35</v>
      </c>
      <c r="C15" s="99">
        <f>'Renewables Report'!C52</f>
        <v>0</v>
      </c>
      <c r="D15" s="100">
        <f>SUM('Renewables Report'!E52:M52)</f>
        <v>8000</v>
      </c>
      <c r="E15" s="148">
        <v>11333</v>
      </c>
      <c r="F15" s="102">
        <f t="shared" si="0"/>
        <v>1.416625</v>
      </c>
      <c r="G15" s="203"/>
      <c r="H15" s="204"/>
      <c r="I15" s="205"/>
      <c r="J15" s="148"/>
      <c r="K15" s="102">
        <f t="shared" si="1"/>
        <v>0</v>
      </c>
      <c r="L15" s="102">
        <f t="shared" si="2"/>
        <v>11333</v>
      </c>
    </row>
    <row r="16" spans="2:12" ht="15" customHeight="1" x14ac:dyDescent="0.25">
      <c r="B16" s="98" t="str">
        <f>'Renewables Report'!B53</f>
        <v xml:space="preserve">                       Lagrande Unit No. 6</v>
      </c>
      <c r="C16" s="99">
        <f>'Renewables Report'!C53</f>
        <v>0</v>
      </c>
      <c r="D16" s="100">
        <f>SUM('Renewables Report'!E53:M53)</f>
        <v>3300</v>
      </c>
      <c r="E16" s="148">
        <v>0</v>
      </c>
      <c r="F16" s="102">
        <f t="shared" si="0"/>
        <v>0</v>
      </c>
      <c r="G16" s="203"/>
      <c r="H16" s="204"/>
      <c r="I16" s="205"/>
      <c r="J16" s="148"/>
      <c r="K16" s="102">
        <f t="shared" si="1"/>
        <v>0</v>
      </c>
      <c r="L16" s="102">
        <f t="shared" si="2"/>
        <v>0</v>
      </c>
    </row>
    <row r="17" spans="2:12" ht="15" customHeight="1" x14ac:dyDescent="0.25">
      <c r="B17" s="98" t="str">
        <f>'Renewables Report'!B54</f>
        <v xml:space="preserve">    Wanupum Development (GPUD)</v>
      </c>
      <c r="C17" s="99">
        <f>'Renewables Report'!C54</f>
        <v>0</v>
      </c>
      <c r="D17" s="100"/>
      <c r="E17" s="148"/>
      <c r="F17" s="102" t="str">
        <f t="shared" si="0"/>
        <v/>
      </c>
      <c r="G17" s="203"/>
      <c r="H17" s="204"/>
      <c r="I17" s="205"/>
      <c r="J17" s="148"/>
      <c r="K17" s="102" t="str">
        <f t="shared" si="1"/>
        <v/>
      </c>
      <c r="L17" s="102">
        <f t="shared" si="2"/>
        <v>0</v>
      </c>
    </row>
    <row r="18" spans="2:12" ht="15" customHeight="1" x14ac:dyDescent="0.25">
      <c r="B18" s="98" t="str">
        <f>'Renewables Report'!B55</f>
        <v xml:space="preserve">          Juvenile Fish By-Pass System</v>
      </c>
      <c r="C18" s="99">
        <f>'Renewables Report'!C55</f>
        <v>0</v>
      </c>
      <c r="D18" s="100">
        <v>2000</v>
      </c>
      <c r="E18" s="148">
        <v>0</v>
      </c>
      <c r="F18" s="102">
        <f t="shared" si="0"/>
        <v>0</v>
      </c>
      <c r="G18" s="203"/>
      <c r="H18" s="204"/>
      <c r="I18" s="205"/>
      <c r="J18" s="148"/>
      <c r="K18" s="102">
        <f t="shared" si="1"/>
        <v>0</v>
      </c>
      <c r="L18" s="102">
        <f t="shared" si="2"/>
        <v>0</v>
      </c>
    </row>
    <row r="19" spans="2:12" ht="15" customHeight="1" x14ac:dyDescent="0.25">
      <c r="B19" s="98">
        <f>'Renewables Report'!B56</f>
        <v>0</v>
      </c>
      <c r="C19" s="99">
        <f>'Renewables Report'!C56</f>
        <v>0</v>
      </c>
      <c r="D19" s="100">
        <f>SUM('Renewables Report'!E56:M56)</f>
        <v>0</v>
      </c>
      <c r="E19" s="148"/>
      <c r="F19" s="102" t="str">
        <f t="shared" si="0"/>
        <v/>
      </c>
      <c r="G19" s="203"/>
      <c r="H19" s="204"/>
      <c r="I19" s="205"/>
      <c r="J19" s="148"/>
      <c r="K19" s="102" t="str">
        <f t="shared" si="1"/>
        <v/>
      </c>
      <c r="L19" s="102">
        <f t="shared" si="2"/>
        <v>0</v>
      </c>
    </row>
    <row r="20" spans="2:12" ht="15" customHeight="1" x14ac:dyDescent="0.25">
      <c r="B20" s="98">
        <f>'Renewables Report'!B57</f>
        <v>0</v>
      </c>
      <c r="C20" s="99">
        <f>'Renewables Report'!C57</f>
        <v>0</v>
      </c>
      <c r="D20" s="100">
        <f>SUM('Renewables Report'!E57:M57)</f>
        <v>0</v>
      </c>
      <c r="E20" s="148"/>
      <c r="F20" s="102" t="str">
        <f t="shared" si="0"/>
        <v/>
      </c>
      <c r="G20" s="203"/>
      <c r="H20" s="204"/>
      <c r="I20" s="205"/>
      <c r="J20" s="148"/>
      <c r="K20" s="102" t="str">
        <f t="shared" si="1"/>
        <v/>
      </c>
      <c r="L20" s="102">
        <f t="shared" si="2"/>
        <v>0</v>
      </c>
    </row>
    <row r="21" spans="2:12" ht="15" customHeight="1" x14ac:dyDescent="0.25">
      <c r="B21" s="98">
        <f>'Renewables Report'!B58</f>
        <v>0</v>
      </c>
      <c r="C21" s="99">
        <f>'Renewables Report'!C58</f>
        <v>0</v>
      </c>
      <c r="D21" s="100">
        <f>SUM('Renewables Report'!E58:M58)</f>
        <v>0</v>
      </c>
      <c r="E21" s="148"/>
      <c r="F21" s="102" t="str">
        <f t="shared" si="0"/>
        <v/>
      </c>
      <c r="G21" s="203"/>
      <c r="H21" s="204"/>
      <c r="I21" s="205"/>
      <c r="J21" s="148"/>
      <c r="K21" s="102" t="str">
        <f t="shared" si="1"/>
        <v/>
      </c>
      <c r="L21" s="102">
        <f t="shared" si="2"/>
        <v>0</v>
      </c>
    </row>
    <row r="22" spans="2:12" ht="15" customHeight="1" x14ac:dyDescent="0.25">
      <c r="B22" s="98">
        <f>'Renewables Report'!B59</f>
        <v>0</v>
      </c>
      <c r="C22" s="99">
        <f>'Renewables Report'!C59</f>
        <v>0</v>
      </c>
      <c r="D22" s="100">
        <f>SUM('Renewables Report'!E59:M59)</f>
        <v>0</v>
      </c>
      <c r="E22" s="148"/>
      <c r="F22" s="102" t="str">
        <f t="shared" si="0"/>
        <v/>
      </c>
      <c r="G22" s="203"/>
      <c r="H22" s="204"/>
      <c r="I22" s="205"/>
      <c r="J22" s="148"/>
      <c r="K22" s="102" t="str">
        <f t="shared" si="1"/>
        <v/>
      </c>
      <c r="L22" s="102">
        <f t="shared" si="2"/>
        <v>0</v>
      </c>
    </row>
    <row r="23" spans="2:12" ht="15" customHeight="1" x14ac:dyDescent="0.25">
      <c r="B23" s="98">
        <f>'Renewables Report'!B60</f>
        <v>0</v>
      </c>
      <c r="C23" s="99">
        <f>'Renewables Report'!C60</f>
        <v>0</v>
      </c>
      <c r="D23" s="100">
        <f>SUM('Renewables Report'!E60:M60)</f>
        <v>0</v>
      </c>
      <c r="E23" s="148"/>
      <c r="F23" s="102" t="str">
        <f t="shared" si="0"/>
        <v/>
      </c>
      <c r="G23" s="203"/>
      <c r="H23" s="204"/>
      <c r="I23" s="205"/>
      <c r="J23" s="148"/>
      <c r="K23" s="102" t="str">
        <f t="shared" si="1"/>
        <v/>
      </c>
      <c r="L23" s="102">
        <f t="shared" si="2"/>
        <v>0</v>
      </c>
    </row>
    <row r="24" spans="2:12" ht="15" customHeight="1" x14ac:dyDescent="0.25">
      <c r="B24" s="98">
        <f>'Renewables Report'!B61</f>
        <v>0</v>
      </c>
      <c r="C24" s="99">
        <f>'Renewables Report'!C61</f>
        <v>0</v>
      </c>
      <c r="D24" s="100">
        <f>SUM('Renewables Report'!E61:M61)</f>
        <v>0</v>
      </c>
      <c r="E24" s="148"/>
      <c r="F24" s="102" t="str">
        <f t="shared" si="0"/>
        <v/>
      </c>
      <c r="G24" s="203"/>
      <c r="H24" s="204"/>
      <c r="I24" s="205"/>
      <c r="J24" s="148"/>
      <c r="K24" s="102" t="str">
        <f t="shared" si="1"/>
        <v/>
      </c>
      <c r="L24" s="102">
        <f t="shared" si="2"/>
        <v>0</v>
      </c>
    </row>
    <row r="25" spans="2:12" ht="15" customHeight="1" x14ac:dyDescent="0.25">
      <c r="B25" s="98">
        <f>'Renewables Report'!B62</f>
        <v>0</v>
      </c>
      <c r="C25" s="99">
        <f>'Renewables Report'!C62</f>
        <v>0</v>
      </c>
      <c r="D25" s="100">
        <f>SUM('Renewables Report'!E62:M62)</f>
        <v>0</v>
      </c>
      <c r="E25" s="148"/>
      <c r="F25" s="102" t="str">
        <f t="shared" si="0"/>
        <v/>
      </c>
      <c r="G25" s="203"/>
      <c r="H25" s="204"/>
      <c r="I25" s="205"/>
      <c r="J25" s="148"/>
      <c r="K25" s="102" t="str">
        <f t="shared" si="1"/>
        <v/>
      </c>
      <c r="L25" s="102">
        <f t="shared" si="2"/>
        <v>0</v>
      </c>
    </row>
    <row r="26" spans="2:12" ht="15" customHeight="1" x14ac:dyDescent="0.25">
      <c r="B26" s="98">
        <f>'Renewables Report'!B63</f>
        <v>0</v>
      </c>
      <c r="C26" s="99">
        <f>'Renewables Report'!C63</f>
        <v>0</v>
      </c>
      <c r="D26" s="100">
        <f>SUM('Renewables Report'!E63:M63)</f>
        <v>0</v>
      </c>
      <c r="E26" s="148"/>
      <c r="F26" s="102" t="str">
        <f t="shared" si="0"/>
        <v/>
      </c>
      <c r="G26" s="203"/>
      <c r="H26" s="204"/>
      <c r="I26" s="205"/>
      <c r="J26" s="148"/>
      <c r="K26" s="102" t="str">
        <f t="shared" si="1"/>
        <v/>
      </c>
      <c r="L26" s="102">
        <f t="shared" si="2"/>
        <v>0</v>
      </c>
    </row>
    <row r="27" spans="2:12" ht="15" customHeight="1" x14ac:dyDescent="0.25">
      <c r="B27" s="103">
        <f>'Renewables Report'!B64</f>
        <v>0</v>
      </c>
      <c r="C27" s="104">
        <f>'Renewables Report'!C64</f>
        <v>0</v>
      </c>
      <c r="D27" s="105">
        <f>SUM('Renewables Report'!E64:M64)</f>
        <v>0</v>
      </c>
      <c r="E27" s="149"/>
      <c r="F27" s="106" t="str">
        <f t="shared" si="0"/>
        <v/>
      </c>
      <c r="G27" s="209"/>
      <c r="H27" s="210"/>
      <c r="I27" s="211"/>
      <c r="J27" s="149"/>
      <c r="K27" s="106" t="str">
        <f t="shared" si="1"/>
        <v/>
      </c>
      <c r="L27" s="106">
        <f t="shared" si="2"/>
        <v>0</v>
      </c>
    </row>
    <row r="28" spans="2:12" ht="15" customHeight="1" x14ac:dyDescent="0.25">
      <c r="B28" s="108" t="s">
        <v>152</v>
      </c>
      <c r="C28" s="108"/>
      <c r="D28" s="110">
        <f>SUM(D7:D27)</f>
        <v>70058</v>
      </c>
      <c r="E28" s="111">
        <f>SUM(E7:E27)</f>
        <v>68220</v>
      </c>
      <c r="F28" s="111"/>
      <c r="G28" s="111"/>
      <c r="H28" s="111"/>
      <c r="I28" s="111"/>
      <c r="J28" s="111">
        <f>SUM(J7:J27)</f>
        <v>0</v>
      </c>
      <c r="K28" s="109"/>
      <c r="L28" s="111">
        <f>SUM(L7:L27)</f>
        <v>68220</v>
      </c>
    </row>
    <row r="29" spans="2:12" ht="15" customHeight="1" x14ac:dyDescent="0.25">
      <c r="E29" s="7"/>
      <c r="F29" s="7"/>
      <c r="G29" s="7"/>
      <c r="H29" s="7"/>
      <c r="I29" s="7"/>
      <c r="J29" s="7"/>
      <c r="K29" s="7"/>
      <c r="L29" s="7"/>
    </row>
    <row r="30" spans="2:12" ht="17.25" customHeight="1" x14ac:dyDescent="0.3">
      <c r="B30" s="153" t="s">
        <v>168</v>
      </c>
      <c r="C30" s="119"/>
      <c r="D30" s="6"/>
      <c r="E30" s="10" t="s">
        <v>4</v>
      </c>
      <c r="F30" s="193" t="str">
        <f>F3</f>
        <v>Tacoma Power</v>
      </c>
      <c r="G30" s="194"/>
      <c r="H30" s="195"/>
    </row>
    <row r="31" spans="2:12" ht="15" customHeight="1" x14ac:dyDescent="0.25">
      <c r="B31" s="119"/>
      <c r="C31" s="119"/>
      <c r="E31" s="10" t="s">
        <v>13</v>
      </c>
      <c r="F31" s="206">
        <v>2015</v>
      </c>
      <c r="G31" s="207"/>
      <c r="H31" s="208"/>
    </row>
    <row r="32" spans="2:12" ht="15" customHeight="1" x14ac:dyDescent="0.25">
      <c r="B32" s="10"/>
      <c r="C32" s="10"/>
      <c r="D32" s="10"/>
      <c r="E32" s="8"/>
      <c r="H32" s="22"/>
      <c r="I32" s="7"/>
    </row>
    <row r="33" spans="1:12" s="11" customFormat="1" x14ac:dyDescent="0.25">
      <c r="B33" s="10"/>
      <c r="C33" s="10"/>
      <c r="D33" s="10"/>
      <c r="E33" s="23"/>
      <c r="F33" s="23"/>
      <c r="G33" s="23"/>
      <c r="H33" s="23"/>
      <c r="I33" s="23"/>
      <c r="J33" s="23"/>
      <c r="K33" s="23"/>
      <c r="L33" s="23"/>
    </row>
    <row r="34" spans="1:12" ht="36" x14ac:dyDescent="0.25">
      <c r="B34" s="51" t="s">
        <v>35</v>
      </c>
      <c r="C34" s="33" t="s">
        <v>54</v>
      </c>
      <c r="D34" s="51" t="s">
        <v>55</v>
      </c>
      <c r="E34" s="154" t="s">
        <v>194</v>
      </c>
      <c r="F34" s="107" t="s">
        <v>195</v>
      </c>
      <c r="G34" s="107" t="s">
        <v>196</v>
      </c>
    </row>
    <row r="35" spans="1:12" ht="15" customHeight="1" x14ac:dyDescent="0.25">
      <c r="A35" s="7"/>
      <c r="B35" s="95" t="str">
        <f>'Renewables Report'!B72</f>
        <v>Carryover from 2014</v>
      </c>
      <c r="C35" s="96" t="str">
        <f>'Renewables Report'!C72</f>
        <v>Various</v>
      </c>
      <c r="D35" s="97">
        <f>'Renewables Report'!D72</f>
        <v>2014</v>
      </c>
      <c r="E35" s="97">
        <f>MAX('Renewables Report'!$E72:$M72)</f>
        <v>36000</v>
      </c>
      <c r="F35" s="147">
        <v>711000</v>
      </c>
      <c r="G35" s="157">
        <f>IF(E35&gt;0,F35/E35,"")</f>
        <v>19.75</v>
      </c>
    </row>
    <row r="36" spans="1:12" ht="15" customHeight="1" x14ac:dyDescent="0.25">
      <c r="A36" s="7"/>
      <c r="B36" s="98">
        <f>'Renewables Report'!B73</f>
        <v>0</v>
      </c>
      <c r="C36" s="99">
        <f>'Renewables Report'!C73</f>
        <v>0</v>
      </c>
      <c r="D36" s="100">
        <f>'Renewables Report'!D73</f>
        <v>0</v>
      </c>
      <c r="E36" s="100">
        <f>MAX('Renewables Report'!$E73:$M73)</f>
        <v>0</v>
      </c>
      <c r="F36" s="148"/>
      <c r="G36" s="156" t="str">
        <f t="shared" ref="G36:G59" si="3">IF(E36&gt;0,F36/E36,"")</f>
        <v/>
      </c>
    </row>
    <row r="37" spans="1:12" ht="15" customHeight="1" x14ac:dyDescent="0.25">
      <c r="A37" s="7"/>
      <c r="B37" s="98" t="str">
        <f>'Renewables Report'!B74</f>
        <v xml:space="preserve">    BPA Tier I REC Contract</v>
      </c>
      <c r="C37" s="99">
        <f>'Renewables Report'!C74</f>
        <v>0</v>
      </c>
      <c r="D37" s="100">
        <f>'Renewables Report'!D74</f>
        <v>0</v>
      </c>
      <c r="E37" s="100">
        <f>MAX('Renewables Report'!$E74:$M74)</f>
        <v>0</v>
      </c>
      <c r="F37" s="148"/>
      <c r="G37" s="156" t="str">
        <f t="shared" si="3"/>
        <v/>
      </c>
    </row>
    <row r="38" spans="1:12" ht="15" customHeight="1" x14ac:dyDescent="0.25">
      <c r="A38" s="7"/>
      <c r="B38" s="98" t="str">
        <f>'Renewables Report'!B75</f>
        <v>Klondike I</v>
      </c>
      <c r="C38" s="99" t="str">
        <f>'Renewables Report'!C75</f>
        <v>W238</v>
      </c>
      <c r="D38" s="100">
        <f>'Renewables Report'!D75</f>
        <v>2015</v>
      </c>
      <c r="E38" s="100">
        <f>MAX('Renewables Report'!$E75:$M75)</f>
        <v>2583</v>
      </c>
      <c r="F38" s="148">
        <v>0</v>
      </c>
      <c r="G38" s="156">
        <f t="shared" si="3"/>
        <v>0</v>
      </c>
    </row>
    <row r="39" spans="1:12" ht="15" customHeight="1" x14ac:dyDescent="0.25">
      <c r="A39" s="7"/>
      <c r="B39" s="98" t="str">
        <f>'Renewables Report'!B76</f>
        <v>Klondike III</v>
      </c>
      <c r="C39" s="99" t="str">
        <f>'Renewables Report'!C76</f>
        <v>W237</v>
      </c>
      <c r="D39" s="100">
        <f>'Renewables Report'!D76</f>
        <v>2015</v>
      </c>
      <c r="E39" s="100">
        <f>MAX('Renewables Report'!$E76:$M76)</f>
        <v>6330</v>
      </c>
      <c r="F39" s="148">
        <v>0</v>
      </c>
      <c r="G39" s="156">
        <f t="shared" si="3"/>
        <v>0</v>
      </c>
    </row>
    <row r="40" spans="1:12" ht="15" customHeight="1" x14ac:dyDescent="0.25">
      <c r="A40" s="7"/>
      <c r="B40" s="98" t="str">
        <f>'Renewables Report'!B77</f>
        <v>Stateline 248</v>
      </c>
      <c r="C40" s="99" t="str">
        <f>'Renewables Report'!C77</f>
        <v>W248</v>
      </c>
      <c r="D40" s="100">
        <f>'Renewables Report'!D77</f>
        <v>2015</v>
      </c>
      <c r="E40" s="100">
        <f>MAX('Renewables Report'!$E77:$M77)</f>
        <v>9422</v>
      </c>
      <c r="F40" s="148">
        <v>0</v>
      </c>
      <c r="G40" s="156">
        <f t="shared" si="3"/>
        <v>0</v>
      </c>
    </row>
    <row r="41" spans="1:12" ht="15" customHeight="1" x14ac:dyDescent="0.25">
      <c r="A41" s="7"/>
      <c r="B41" s="98" t="str">
        <f>'Renewables Report'!B78</f>
        <v xml:space="preserve">                                     Condon I</v>
      </c>
      <c r="C41" s="99" t="str">
        <f>'Renewables Report'!C78</f>
        <v>W774</v>
      </c>
      <c r="D41" s="100">
        <f>'Renewables Report'!D78</f>
        <v>2015</v>
      </c>
      <c r="E41" s="100">
        <f>MAX('Renewables Report'!$E78:$M78)</f>
        <v>2207</v>
      </c>
      <c r="F41" s="148">
        <v>0</v>
      </c>
      <c r="G41" s="156">
        <f t="shared" si="3"/>
        <v>0</v>
      </c>
    </row>
    <row r="42" spans="1:12" ht="15" customHeight="1" x14ac:dyDescent="0.25">
      <c r="B42" s="98" t="str">
        <f>'Renewables Report'!B79</f>
        <v xml:space="preserve">                                      Condon II</v>
      </c>
      <c r="C42" s="99" t="str">
        <f>'Renewables Report'!C79</f>
        <v>W833</v>
      </c>
      <c r="D42" s="100">
        <f>'Renewables Report'!D79</f>
        <v>2015</v>
      </c>
      <c r="E42" s="100">
        <f>MAX('Renewables Report'!$E79:$M79)</f>
        <v>2731</v>
      </c>
      <c r="F42" s="148">
        <v>0</v>
      </c>
      <c r="G42" s="156">
        <f t="shared" si="3"/>
        <v>0</v>
      </c>
    </row>
    <row r="43" spans="1:12" ht="15" customHeight="1" x14ac:dyDescent="0.25">
      <c r="B43" s="98">
        <f>'Renewables Report'!B80</f>
        <v>0</v>
      </c>
      <c r="C43" s="99">
        <f>'Renewables Report'!C80</f>
        <v>0</v>
      </c>
      <c r="D43" s="100">
        <f>'Renewables Report'!D80</f>
        <v>0</v>
      </c>
      <c r="E43" s="100">
        <f>MAX('Renewables Report'!$E80:$M80)</f>
        <v>0</v>
      </c>
      <c r="F43" s="148"/>
      <c r="G43" s="156" t="str">
        <f t="shared" si="3"/>
        <v/>
      </c>
    </row>
    <row r="44" spans="1:12" ht="15" customHeight="1" x14ac:dyDescent="0.25">
      <c r="B44" s="98">
        <f>'Renewables Report'!B81</f>
        <v>0</v>
      </c>
      <c r="C44" s="99">
        <f>'Renewables Report'!C81</f>
        <v>0</v>
      </c>
      <c r="D44" s="100">
        <f>'Renewables Report'!D81</f>
        <v>0</v>
      </c>
      <c r="E44" s="100">
        <f>MAX('Renewables Report'!$E81:$M81)</f>
        <v>0</v>
      </c>
      <c r="F44" s="148"/>
      <c r="G44" s="156" t="str">
        <f t="shared" si="3"/>
        <v/>
      </c>
    </row>
    <row r="45" spans="1:12" ht="15" customHeight="1" x14ac:dyDescent="0.25">
      <c r="B45" s="98" t="str">
        <f>'Renewables Report'!B82</f>
        <v xml:space="preserve">     Iberdrola REC Contract</v>
      </c>
      <c r="C45" s="99">
        <f>'Renewables Report'!C82</f>
        <v>0</v>
      </c>
      <c r="D45" s="100">
        <f>'Renewables Report'!D82</f>
        <v>0</v>
      </c>
      <c r="E45" s="100">
        <f>MAX('Renewables Report'!$E82:$M82)</f>
        <v>0</v>
      </c>
      <c r="F45" s="148"/>
      <c r="G45" s="156" t="str">
        <f t="shared" si="3"/>
        <v/>
      </c>
    </row>
    <row r="46" spans="1:12" ht="15" customHeight="1" x14ac:dyDescent="0.25">
      <c r="B46" s="98" t="str">
        <f>'Renewables Report'!B83</f>
        <v xml:space="preserve">                               Bennett Creek</v>
      </c>
      <c r="C46" s="99" t="str">
        <f>'Renewables Report'!C83</f>
        <v>W542</v>
      </c>
      <c r="D46" s="100">
        <f>'Renewables Report'!D83</f>
        <v>2015</v>
      </c>
      <c r="E46" s="100">
        <f>MAX('Renewables Report'!$E83:$M83)</f>
        <v>36000</v>
      </c>
      <c r="F46" s="148">
        <v>711000</v>
      </c>
      <c r="G46" s="156">
        <f t="shared" si="3"/>
        <v>19.75</v>
      </c>
    </row>
    <row r="47" spans="1:12" ht="15" customHeight="1" x14ac:dyDescent="0.25">
      <c r="B47" s="98" t="str">
        <f>'Renewables Report'!B84</f>
        <v xml:space="preserve">                               Hot Springs</v>
      </c>
      <c r="C47" s="99" t="str">
        <f>'Renewables Report'!C84</f>
        <v>W543</v>
      </c>
      <c r="D47" s="100">
        <f>'Renewables Report'!D84</f>
        <v>2015</v>
      </c>
      <c r="E47" s="100">
        <f>MAX('Renewables Report'!$E84:$M84)</f>
        <v>33000</v>
      </c>
      <c r="F47" s="148">
        <v>651750</v>
      </c>
      <c r="G47" s="156">
        <f t="shared" si="3"/>
        <v>19.75</v>
      </c>
    </row>
    <row r="48" spans="1:12" ht="15" customHeight="1" x14ac:dyDescent="0.25">
      <c r="B48" s="98">
        <f>'Renewables Report'!B85</f>
        <v>0</v>
      </c>
      <c r="C48" s="99">
        <f>'Renewables Report'!C85</f>
        <v>0</v>
      </c>
      <c r="D48" s="100">
        <f>'Renewables Report'!D85</f>
        <v>0</v>
      </c>
      <c r="E48" s="100">
        <f>MAX('Renewables Report'!$E85:$M85)</f>
        <v>0</v>
      </c>
      <c r="F48" s="148"/>
      <c r="G48" s="156" t="str">
        <f t="shared" si="3"/>
        <v/>
      </c>
    </row>
    <row r="49" spans="2:12" ht="15" customHeight="1" x14ac:dyDescent="0.25">
      <c r="B49" s="98" t="str">
        <f>'Renewables Report'!B86</f>
        <v xml:space="preserve">                                          IWP</v>
      </c>
      <c r="C49" s="99">
        <f>'Renewables Report'!C86</f>
        <v>0</v>
      </c>
      <c r="D49" s="100">
        <f>'Renewables Report'!D86</f>
        <v>0</v>
      </c>
      <c r="E49" s="100">
        <f>MAX('Renewables Report'!$E86:$M86)</f>
        <v>0</v>
      </c>
      <c r="F49" s="148"/>
      <c r="G49" s="156" t="str">
        <f t="shared" si="3"/>
        <v/>
      </c>
    </row>
    <row r="50" spans="2:12" ht="15" customHeight="1" x14ac:dyDescent="0.25">
      <c r="B50" s="98" t="str">
        <f>'Renewables Report'!B87</f>
        <v xml:space="preserve">                                   Milner Dam</v>
      </c>
      <c r="C50" s="99" t="str">
        <f>'Renewables Report'!C87</f>
        <v>W1863</v>
      </c>
      <c r="D50" s="100">
        <f>'Renewables Report'!D87</f>
        <v>2015</v>
      </c>
      <c r="E50" s="100">
        <f>MAX('Renewables Report'!$E87:$M87)</f>
        <v>14000</v>
      </c>
      <c r="F50" s="148">
        <v>56000</v>
      </c>
      <c r="G50" s="156">
        <f t="shared" si="3"/>
        <v>4</v>
      </c>
    </row>
    <row r="51" spans="2:12" ht="15" customHeight="1" x14ac:dyDescent="0.25">
      <c r="B51" s="98" t="str">
        <f>'Renewables Report'!B88</f>
        <v xml:space="preserve">                                 Burley Butte</v>
      </c>
      <c r="C51" s="99" t="str">
        <f>'Renewables Report'!C88</f>
        <v>W1864</v>
      </c>
      <c r="D51" s="100">
        <f>'Renewables Report'!D88</f>
        <v>2015</v>
      </c>
      <c r="E51" s="100">
        <f>MAX('Renewables Report'!$E88:$M88)</f>
        <v>14000</v>
      </c>
      <c r="F51" s="148">
        <v>56000</v>
      </c>
      <c r="G51" s="156">
        <f t="shared" si="3"/>
        <v>4</v>
      </c>
    </row>
    <row r="52" spans="2:12" ht="15" customHeight="1" x14ac:dyDescent="0.25">
      <c r="B52" s="98" t="str">
        <f>'Renewables Report'!B89</f>
        <v xml:space="preserve">                    Pilgrim Stage Station</v>
      </c>
      <c r="C52" s="99" t="str">
        <f>'Renewables Report'!C89</f>
        <v>W1884</v>
      </c>
      <c r="D52" s="100">
        <f>'Renewables Report'!D89</f>
        <v>2015</v>
      </c>
      <c r="E52" s="100">
        <f>MAX('Renewables Report'!$E89:$M89)</f>
        <v>14000</v>
      </c>
      <c r="F52" s="148">
        <v>56000</v>
      </c>
      <c r="G52" s="156">
        <f t="shared" si="3"/>
        <v>4</v>
      </c>
    </row>
    <row r="53" spans="2:12" ht="15" customHeight="1" x14ac:dyDescent="0.25">
      <c r="B53" s="98">
        <f>'Renewables Report'!B90</f>
        <v>0</v>
      </c>
      <c r="C53" s="99">
        <f>'Renewables Report'!C90</f>
        <v>0</v>
      </c>
      <c r="D53" s="100">
        <f>'Renewables Report'!D90</f>
        <v>0</v>
      </c>
      <c r="E53" s="100">
        <f>MAX('Renewables Report'!$E90:$M90)</f>
        <v>0</v>
      </c>
      <c r="F53" s="148"/>
      <c r="G53" s="156" t="str">
        <f t="shared" si="3"/>
        <v/>
      </c>
    </row>
    <row r="54" spans="2:12" ht="15" customHeight="1" x14ac:dyDescent="0.25">
      <c r="B54" s="98" t="str">
        <f>'Renewables Report'!B91</f>
        <v xml:space="preserve">                              Chelan PUD</v>
      </c>
      <c r="C54" s="99" t="str">
        <f>'Renewables Report'!C91</f>
        <v>Not Avail</v>
      </c>
      <c r="D54" s="100">
        <f>'Renewables Report'!D91</f>
        <v>2015</v>
      </c>
      <c r="E54" s="100">
        <f>MAX('Renewables Report'!$E91:$M91)</f>
        <v>10000</v>
      </c>
      <c r="F54" s="148">
        <v>65000</v>
      </c>
      <c r="G54" s="156">
        <f t="shared" si="3"/>
        <v>6.5</v>
      </c>
    </row>
    <row r="55" spans="2:12" ht="15" customHeight="1" x14ac:dyDescent="0.25">
      <c r="B55" s="98">
        <f>'Renewables Report'!B92</f>
        <v>0</v>
      </c>
      <c r="C55" s="99">
        <f>'Renewables Report'!C92</f>
        <v>0</v>
      </c>
      <c r="D55" s="100">
        <f>'Renewables Report'!D92</f>
        <v>0</v>
      </c>
      <c r="E55" s="100">
        <f>MAX('Renewables Report'!$E92:$M92)</f>
        <v>0</v>
      </c>
      <c r="F55" s="148"/>
      <c r="G55" s="156" t="str">
        <f t="shared" si="3"/>
        <v/>
      </c>
    </row>
    <row r="56" spans="2:12" ht="15" customHeight="1" x14ac:dyDescent="0.25">
      <c r="B56" s="98">
        <f>'Renewables Report'!B93</f>
        <v>0</v>
      </c>
      <c r="C56" s="99">
        <f>'Renewables Report'!C93</f>
        <v>0</v>
      </c>
      <c r="D56" s="100">
        <f>'Renewables Report'!D93</f>
        <v>0</v>
      </c>
      <c r="E56" s="100">
        <f>MAX('Renewables Report'!$E93:$M93)</f>
        <v>0</v>
      </c>
      <c r="F56" s="148"/>
      <c r="G56" s="156" t="str">
        <f t="shared" si="3"/>
        <v/>
      </c>
    </row>
    <row r="57" spans="2:12" ht="15" customHeight="1" x14ac:dyDescent="0.25">
      <c r="B57" s="98">
        <f>'Renewables Report'!B94</f>
        <v>0</v>
      </c>
      <c r="C57" s="99">
        <f>'Renewables Report'!C94</f>
        <v>0</v>
      </c>
      <c r="D57" s="100">
        <f>'Renewables Report'!D94</f>
        <v>0</v>
      </c>
      <c r="E57" s="100">
        <f>MAX('Renewables Report'!$E94:$M94)</f>
        <v>0</v>
      </c>
      <c r="F57" s="148"/>
      <c r="G57" s="156" t="str">
        <f t="shared" si="3"/>
        <v/>
      </c>
    </row>
    <row r="58" spans="2:12" ht="15" customHeight="1" x14ac:dyDescent="0.25">
      <c r="B58" s="98">
        <f>'Renewables Report'!B95</f>
        <v>0</v>
      </c>
      <c r="C58" s="99">
        <f>'Renewables Report'!C95</f>
        <v>0</v>
      </c>
      <c r="D58" s="100">
        <f>'Renewables Report'!D95</f>
        <v>0</v>
      </c>
      <c r="E58" s="100">
        <f>MAX('Renewables Report'!$E95:$M95)</f>
        <v>0</v>
      </c>
      <c r="F58" s="148"/>
      <c r="G58" s="156" t="str">
        <f t="shared" si="3"/>
        <v/>
      </c>
    </row>
    <row r="59" spans="2:12" ht="15" customHeight="1" x14ac:dyDescent="0.25">
      <c r="B59" s="103">
        <f>'Renewables Report'!B96</f>
        <v>0</v>
      </c>
      <c r="C59" s="104">
        <f>'Renewables Report'!C96</f>
        <v>0</v>
      </c>
      <c r="D59" s="105">
        <f>'Renewables Report'!D96</f>
        <v>0</v>
      </c>
      <c r="E59" s="105">
        <f>MAX('Renewables Report'!$E96:$M96)</f>
        <v>0</v>
      </c>
      <c r="F59" s="150"/>
      <c r="G59" s="158" t="str">
        <f t="shared" si="3"/>
        <v/>
      </c>
    </row>
    <row r="60" spans="2:12" ht="15" customHeight="1" x14ac:dyDescent="0.25">
      <c r="B60" s="108" t="s">
        <v>6</v>
      </c>
      <c r="C60" s="113"/>
      <c r="D60" s="113"/>
      <c r="E60" s="155"/>
      <c r="F60" s="111">
        <f>SUM(F35:F59)</f>
        <v>2306750</v>
      </c>
      <c r="G60" s="155"/>
    </row>
    <row r="61" spans="2:12" ht="15" customHeight="1" x14ac:dyDescent="0.25">
      <c r="B61" s="11"/>
      <c r="C61" s="11"/>
      <c r="D61" s="11"/>
      <c r="E61" s="10"/>
    </row>
    <row r="62" spans="2:12" ht="15" customHeight="1" x14ac:dyDescent="0.25">
      <c r="E62" s="10"/>
    </row>
    <row r="63" spans="2:12" ht="15" customHeight="1" x14ac:dyDescent="0.25">
      <c r="B63" s="11" t="s">
        <v>165</v>
      </c>
      <c r="C63" s="11"/>
      <c r="D63" s="11"/>
      <c r="E63" s="10"/>
      <c r="F63" s="89"/>
    </row>
    <row r="64" spans="2:12" ht="15" customHeight="1" x14ac:dyDescent="0.25">
      <c r="B64" s="88"/>
      <c r="C64" s="88"/>
      <c r="D64" s="88"/>
      <c r="E64" s="88"/>
      <c r="F64" s="88"/>
      <c r="G64" s="88"/>
      <c r="H64" s="88"/>
      <c r="I64" s="88"/>
      <c r="J64" s="88"/>
      <c r="K64" s="88"/>
      <c r="L64" s="88"/>
    </row>
    <row r="65" spans="2:12" ht="15" customHeight="1" x14ac:dyDescent="0.25">
      <c r="B65" s="88"/>
      <c r="C65" s="88"/>
      <c r="D65" s="88"/>
      <c r="E65" s="88"/>
      <c r="F65" s="88"/>
      <c r="G65" s="88"/>
      <c r="H65" s="88"/>
      <c r="I65" s="88"/>
      <c r="J65" s="88"/>
      <c r="K65" s="88"/>
      <c r="L65" s="88"/>
    </row>
    <row r="66" spans="2:12" s="7" customFormat="1" ht="15" customHeight="1" x14ac:dyDescent="0.25">
      <c r="B66" s="88"/>
      <c r="C66" s="88"/>
      <c r="D66" s="88"/>
      <c r="E66" s="88"/>
      <c r="F66" s="88"/>
      <c r="G66" s="88"/>
      <c r="H66" s="88"/>
      <c r="I66" s="88"/>
      <c r="J66" s="88"/>
      <c r="K66" s="88"/>
      <c r="L66" s="88"/>
    </row>
    <row r="67" spans="2:12" s="7" customFormat="1" ht="15" customHeight="1" x14ac:dyDescent="0.25">
      <c r="B67" s="88"/>
      <c r="C67" s="88"/>
      <c r="D67" s="88"/>
      <c r="E67" s="88"/>
      <c r="F67" s="88"/>
      <c r="G67" s="88"/>
      <c r="H67" s="88"/>
      <c r="I67" s="88"/>
      <c r="J67" s="88"/>
      <c r="K67" s="88"/>
      <c r="L67" s="88"/>
    </row>
    <row r="68" spans="2:12" s="7" customFormat="1" x14ac:dyDescent="0.25">
      <c r="B68" s="88"/>
      <c r="C68" s="88"/>
      <c r="D68" s="88"/>
      <c r="E68" s="88"/>
      <c r="F68" s="88"/>
      <c r="G68" s="88"/>
      <c r="H68" s="88"/>
      <c r="I68" s="88"/>
      <c r="J68" s="88"/>
      <c r="K68" s="88"/>
      <c r="L68" s="88"/>
    </row>
    <row r="69" spans="2:12" s="7" customFormat="1" x14ac:dyDescent="0.25">
      <c r="B69" s="88"/>
      <c r="C69" s="88"/>
      <c r="D69" s="88"/>
      <c r="E69" s="88"/>
      <c r="F69" s="88"/>
      <c r="G69" s="88"/>
      <c r="H69" s="88"/>
      <c r="I69" s="88"/>
      <c r="J69" s="88"/>
      <c r="K69" s="88"/>
      <c r="L69" s="88"/>
    </row>
    <row r="70" spans="2:12" s="7" customFormat="1" x14ac:dyDescent="0.25">
      <c r="B70" s="88"/>
      <c r="C70" s="88"/>
      <c r="D70" s="88"/>
      <c r="E70" s="88"/>
      <c r="F70" s="88"/>
      <c r="G70" s="88"/>
      <c r="H70" s="88"/>
      <c r="I70" s="88"/>
      <c r="J70" s="88"/>
      <c r="K70" s="88"/>
      <c r="L70" s="88"/>
    </row>
    <row r="71" spans="2:12" x14ac:dyDescent="0.25">
      <c r="B71" s="88"/>
      <c r="C71" s="88"/>
      <c r="D71" s="88"/>
      <c r="E71" s="88"/>
      <c r="F71" s="88"/>
      <c r="G71" s="88"/>
      <c r="H71" s="88"/>
      <c r="I71" s="88"/>
      <c r="J71" s="88"/>
      <c r="K71" s="88"/>
      <c r="L71" s="88"/>
    </row>
    <row r="72" spans="2:12" x14ac:dyDescent="0.25">
      <c r="B72" s="88"/>
      <c r="C72" s="88"/>
      <c r="D72" s="88"/>
      <c r="E72" s="88"/>
      <c r="F72" s="88"/>
      <c r="G72" s="88"/>
      <c r="H72" s="88"/>
      <c r="I72" s="88"/>
      <c r="J72" s="88"/>
      <c r="K72" s="88"/>
      <c r="L72" s="88"/>
    </row>
    <row r="73" spans="2:12" x14ac:dyDescent="0.25">
      <c r="B73" s="88"/>
      <c r="C73" s="88"/>
      <c r="D73" s="88"/>
      <c r="E73" s="88"/>
      <c r="F73" s="88"/>
      <c r="G73" s="88"/>
      <c r="H73" s="88"/>
      <c r="I73" s="88"/>
      <c r="J73" s="88"/>
      <c r="K73" s="88"/>
      <c r="L73" s="88"/>
    </row>
    <row r="74" spans="2:12" x14ac:dyDescent="0.25">
      <c r="B74" s="88"/>
      <c r="C74" s="88"/>
      <c r="D74" s="88"/>
      <c r="E74" s="88"/>
      <c r="F74" s="88"/>
      <c r="G74" s="88"/>
      <c r="H74" s="88"/>
      <c r="I74" s="88"/>
      <c r="J74" s="88"/>
      <c r="K74" s="88"/>
      <c r="L74" s="88"/>
    </row>
    <row r="75" spans="2:12" x14ac:dyDescent="0.25">
      <c r="B75" s="88"/>
      <c r="C75" s="88"/>
      <c r="D75" s="88"/>
      <c r="E75" s="88"/>
      <c r="F75" s="88"/>
      <c r="G75" s="88"/>
      <c r="H75" s="88"/>
      <c r="I75" s="88"/>
      <c r="J75" s="88"/>
      <c r="K75" s="88"/>
      <c r="L75" s="88"/>
    </row>
    <row r="76" spans="2:12" x14ac:dyDescent="0.25">
      <c r="B76" s="88"/>
      <c r="C76" s="88"/>
      <c r="D76" s="88"/>
      <c r="E76" s="88"/>
      <c r="F76" s="88"/>
      <c r="G76" s="88"/>
      <c r="H76" s="88"/>
      <c r="I76" s="88"/>
      <c r="J76" s="88"/>
      <c r="K76" s="88"/>
      <c r="L76" s="88"/>
    </row>
    <row r="77" spans="2:12" x14ac:dyDescent="0.25">
      <c r="B77" s="88"/>
      <c r="C77" s="88"/>
      <c r="D77" s="88"/>
      <c r="E77" s="88"/>
      <c r="F77" s="88"/>
      <c r="G77" s="88"/>
      <c r="H77" s="88"/>
      <c r="I77" s="88"/>
      <c r="J77" s="88"/>
      <c r="K77" s="88"/>
      <c r="L77" s="88"/>
    </row>
  </sheetData>
  <mergeCells count="26">
    <mergeCell ref="G15:I15"/>
    <mergeCell ref="G16:I16"/>
    <mergeCell ref="G17:I17"/>
    <mergeCell ref="G18:I18"/>
    <mergeCell ref="G19:I19"/>
    <mergeCell ref="G10:I10"/>
    <mergeCell ref="G11:I11"/>
    <mergeCell ref="G12:I12"/>
    <mergeCell ref="G13:I13"/>
    <mergeCell ref="G14:I14"/>
    <mergeCell ref="G20:I20"/>
    <mergeCell ref="F30:H30"/>
    <mergeCell ref="F31:H31"/>
    <mergeCell ref="F3:H3"/>
    <mergeCell ref="F4:H4"/>
    <mergeCell ref="G21:I21"/>
    <mergeCell ref="G22:I22"/>
    <mergeCell ref="G23:I23"/>
    <mergeCell ref="G24:I24"/>
    <mergeCell ref="G25:I25"/>
    <mergeCell ref="G26:I26"/>
    <mergeCell ref="G27:I27"/>
    <mergeCell ref="G6:I6"/>
    <mergeCell ref="G7:I7"/>
    <mergeCell ref="G8:I8"/>
    <mergeCell ref="G9:I9"/>
  </mergeCells>
  <pageMargins left="0.7" right="0.7" top="0.75" bottom="0.75" header="0.3" footer="0.3"/>
  <pageSetup scale="79" fitToHeight="0" orientation="landscape" r:id="rId1"/>
  <rowBreaks count="1" manualBreakCount="1">
    <brk id="28" min="1" max="11"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E2"/>
  <sheetViews>
    <sheetView workbookViewId="0">
      <selection activeCell="A2" sqref="A2"/>
    </sheetView>
  </sheetViews>
  <sheetFormatPr defaultRowHeight="14.4" x14ac:dyDescent="0.3"/>
  <cols>
    <col min="1" max="1" width="36.109375" bestFit="1" customWidth="1"/>
  </cols>
  <sheetData>
    <row r="1" spans="1:83" x14ac:dyDescent="0.25">
      <c r="B1" t="s">
        <v>126</v>
      </c>
      <c r="C1" t="s">
        <v>127</v>
      </c>
      <c r="D1" t="s">
        <v>128</v>
      </c>
      <c r="E1" t="s">
        <v>129</v>
      </c>
      <c r="F1" t="s">
        <v>130</v>
      </c>
      <c r="G1" t="s">
        <v>131</v>
      </c>
      <c r="H1" t="s">
        <v>132</v>
      </c>
      <c r="I1" t="s">
        <v>133</v>
      </c>
      <c r="J1" t="s">
        <v>134</v>
      </c>
      <c r="K1" t="s">
        <v>135</v>
      </c>
      <c r="L1" t="s">
        <v>171</v>
      </c>
      <c r="M1" t="s">
        <v>172</v>
      </c>
      <c r="N1" t="s">
        <v>136</v>
      </c>
      <c r="O1" t="s">
        <v>137</v>
      </c>
      <c r="P1" t="s">
        <v>138</v>
      </c>
      <c r="Q1" t="s">
        <v>139</v>
      </c>
      <c r="R1" t="s">
        <v>140</v>
      </c>
      <c r="S1" t="s">
        <v>141</v>
      </c>
      <c r="T1" t="s">
        <v>142</v>
      </c>
      <c r="U1" t="s">
        <v>143</v>
      </c>
      <c r="V1" t="s">
        <v>144</v>
      </c>
      <c r="W1" t="s">
        <v>145</v>
      </c>
      <c r="X1" t="s">
        <v>68</v>
      </c>
      <c r="Y1" t="s">
        <v>69</v>
      </c>
      <c r="Z1" t="s">
        <v>70</v>
      </c>
      <c r="AA1" t="s">
        <v>77</v>
      </c>
      <c r="AB1" t="s">
        <v>71</v>
      </c>
      <c r="AC1" t="s">
        <v>78</v>
      </c>
      <c r="AD1" t="s">
        <v>72</v>
      </c>
      <c r="AE1" t="s">
        <v>73</v>
      </c>
      <c r="AF1" t="s">
        <v>74</v>
      </c>
      <c r="AG1" t="s">
        <v>79</v>
      </c>
      <c r="AH1" t="s">
        <v>80</v>
      </c>
      <c r="AI1" t="s">
        <v>81</v>
      </c>
      <c r="AJ1" t="s">
        <v>82</v>
      </c>
      <c r="AK1" t="s">
        <v>83</v>
      </c>
      <c r="AL1" t="s">
        <v>84</v>
      </c>
      <c r="AM1" t="s">
        <v>85</v>
      </c>
      <c r="AN1" t="s">
        <v>86</v>
      </c>
      <c r="AO1" t="s">
        <v>87</v>
      </c>
      <c r="AP1" t="s">
        <v>88</v>
      </c>
      <c r="AQ1" t="s">
        <v>173</v>
      </c>
      <c r="AR1" t="s">
        <v>174</v>
      </c>
      <c r="AS1" t="s">
        <v>90</v>
      </c>
      <c r="AT1" t="s">
        <v>175</v>
      </c>
      <c r="AU1" t="s">
        <v>91</v>
      </c>
      <c r="AV1" t="s">
        <v>92</v>
      </c>
      <c r="AW1" t="s">
        <v>93</v>
      </c>
      <c r="AX1" t="s">
        <v>94</v>
      </c>
      <c r="AY1" t="s">
        <v>95</v>
      </c>
      <c r="AZ1" t="s">
        <v>96</v>
      </c>
      <c r="BA1" t="s">
        <v>97</v>
      </c>
      <c r="BB1" t="s">
        <v>98</v>
      </c>
      <c r="BC1" t="s">
        <v>99</v>
      </c>
      <c r="BD1" t="s">
        <v>100</v>
      </c>
      <c r="BE1" t="s">
        <v>177</v>
      </c>
      <c r="BF1" t="s">
        <v>75</v>
      </c>
      <c r="BG1" t="s">
        <v>176</v>
      </c>
      <c r="BH1" t="s">
        <v>76</v>
      </c>
      <c r="BI1" t="s">
        <v>83</v>
      </c>
      <c r="BJ1" t="s">
        <v>84</v>
      </c>
      <c r="BK1" t="s">
        <v>85</v>
      </c>
      <c r="BL1" t="s">
        <v>86</v>
      </c>
      <c r="BM1" t="s">
        <v>87</v>
      </c>
      <c r="BN1" t="s">
        <v>88</v>
      </c>
      <c r="BO1" t="s">
        <v>103</v>
      </c>
      <c r="BP1" t="s">
        <v>104</v>
      </c>
      <c r="BQ1" t="s">
        <v>89</v>
      </c>
      <c r="BR1" t="s">
        <v>90</v>
      </c>
      <c r="BS1" t="s">
        <v>91</v>
      </c>
      <c r="BT1" t="s">
        <v>92</v>
      </c>
      <c r="BU1" t="s">
        <v>93</v>
      </c>
      <c r="BV1" t="s">
        <v>94</v>
      </c>
      <c r="BW1" t="s">
        <v>95</v>
      </c>
      <c r="BX1" t="s">
        <v>96</v>
      </c>
      <c r="BY1" t="s">
        <v>97</v>
      </c>
      <c r="BZ1" t="s">
        <v>98</v>
      </c>
      <c r="CA1" t="s">
        <v>99</v>
      </c>
      <c r="CB1" t="s">
        <v>100</v>
      </c>
      <c r="CC1" t="s">
        <v>75</v>
      </c>
      <c r="CD1" t="s">
        <v>106</v>
      </c>
      <c r="CE1" t="s">
        <v>76</v>
      </c>
    </row>
    <row r="2" spans="1:83" x14ac:dyDescent="0.25">
      <c r="A2" t="str">
        <f>REN_Utility_Name</f>
        <v>Tacoma Power</v>
      </c>
      <c r="B2">
        <f>CON_2014_Agriculture_Expend</f>
        <v>0</v>
      </c>
      <c r="C2" t="str">
        <f>CON_2014_Agriculture_MWH</f>
        <v xml:space="preserve">                        -   </v>
      </c>
      <c r="D2">
        <f>CON_2014_Commercial_Expend</f>
        <v>4113425</v>
      </c>
      <c r="E2">
        <f>CON_2014_Commercial_MWH</f>
        <v>19484</v>
      </c>
      <c r="F2">
        <f>CON_2014_Distribution_Expend</f>
        <v>0</v>
      </c>
      <c r="G2" t="str">
        <f>CON_2014_Distribution_MWH</f>
        <v xml:space="preserve">                        -   </v>
      </c>
      <c r="H2">
        <f>CON_2014_Expenditures</f>
        <v>12863734.07</v>
      </c>
      <c r="I2">
        <f>CON_2014_Industrial_Expend</f>
        <v>1298976</v>
      </c>
      <c r="J2">
        <f>CON_2014_Industrial_MWH</f>
        <v>6153</v>
      </c>
      <c r="K2">
        <f>CON_2014_MWH</f>
        <v>56078</v>
      </c>
      <c r="L2">
        <f>CON_2014_NEEA_Expend</f>
        <v>320417</v>
      </c>
      <c r="M2">
        <f>CON_2014_NEEA_MWH</f>
        <v>17032</v>
      </c>
      <c r="N2">
        <f>CON_2014_OtherSector1_Expend</f>
        <v>0</v>
      </c>
      <c r="O2">
        <f>CON_2014_OtherSector1_MWH</f>
        <v>0</v>
      </c>
      <c r="P2">
        <f>CON_2014_OtherSector2_Expend</f>
        <v>0</v>
      </c>
      <c r="Q2">
        <f>CON_2014_OtherSector2_MWH</f>
        <v>0</v>
      </c>
      <c r="R2">
        <f>CON_2014_Production_Expend</f>
        <v>0</v>
      </c>
      <c r="S2" t="str">
        <f>CON_2014_Production_MWH</f>
        <v xml:space="preserve">                        -   </v>
      </c>
      <c r="T2">
        <f>CON_2014_Program1_Expend</f>
        <v>1484380.0699999998</v>
      </c>
      <c r="U2">
        <f>CON_2014_Program2_Expend</f>
        <v>0</v>
      </c>
      <c r="V2">
        <f>CON_2014_Residential_Expend</f>
        <v>5646536</v>
      </c>
      <c r="W2">
        <f>CON_2014_Residential_MWH</f>
        <v>13409</v>
      </c>
      <c r="X2" t="str">
        <f>CON_Contact_Name</f>
        <v>Jeff Stafford</v>
      </c>
      <c r="Y2" t="str">
        <f>CON_Email</f>
        <v>jstafford@cityoftacoma.org</v>
      </c>
      <c r="Z2" t="str">
        <f>CON_Phone</f>
        <v>253-502-8940</v>
      </c>
      <c r="AA2">
        <f>CON_Potential_2014_2023</f>
        <v>354780</v>
      </c>
      <c r="AB2">
        <f>CON_Report_Date</f>
        <v>42153</v>
      </c>
      <c r="AC2">
        <f>CON_Target_2014_2015</f>
        <v>70956</v>
      </c>
      <c r="AD2" t="str">
        <f>CON_Utility_Name</f>
        <v>Tacoma Public Utilities</v>
      </c>
      <c r="AE2" t="str">
        <f>REN_Contact_Name</f>
        <v>Bill Dickens</v>
      </c>
      <c r="AF2" t="str">
        <f>REN_Email</f>
        <v>bdickens@cityoftacoma.org</v>
      </c>
      <c r="AG2">
        <f>REN_ERR_ApprenticeLabor</f>
        <v>12552</v>
      </c>
      <c r="AH2">
        <f>REN_ERR_Biodiesel</f>
        <v>0</v>
      </c>
      <c r="AI2">
        <f>REN_ERR_Biomass</f>
        <v>0</v>
      </c>
      <c r="AJ2">
        <f>REN_ERR_Geothermal</f>
        <v>0</v>
      </c>
      <c r="AK2">
        <f>REN_ERR_LandfillGas</f>
        <v>0</v>
      </c>
      <c r="AL2">
        <f>REN_ERR_SewageGas</f>
        <v>0</v>
      </c>
      <c r="AM2">
        <f>REN_ERR_Solar</f>
        <v>0</v>
      </c>
      <c r="AN2">
        <f>REN_ERR_Water</f>
        <v>70058</v>
      </c>
      <c r="AO2">
        <f>REN_ERR_Wind</f>
        <v>0</v>
      </c>
      <c r="AP2">
        <f>REN_ERR_WOT</f>
        <v>0</v>
      </c>
      <c r="AQ2">
        <f>REN_Expenditure_Amount_2015</f>
        <v>2374970</v>
      </c>
      <c r="AR2">
        <f>REN_Expenditure_Percent_2015</f>
        <v>7.2006144606801513E-3</v>
      </c>
      <c r="AS2">
        <f>REN_Load_2013</f>
        <v>4806761</v>
      </c>
      <c r="AT2">
        <f>REN_Load_2014</f>
        <v>4759936</v>
      </c>
      <c r="AU2">
        <f>REN_REC_ApprenticeLabor</f>
        <v>0</v>
      </c>
      <c r="AV2">
        <f>REN_REC_Biodiesel</f>
        <v>0</v>
      </c>
      <c r="AW2">
        <f>REN_REC_Biomass</f>
        <v>0</v>
      </c>
      <c r="AX2">
        <f>REN_REC_DistributedGeneration</f>
        <v>0</v>
      </c>
      <c r="AY2">
        <f>REN_REC_Geothermal</f>
        <v>0</v>
      </c>
      <c r="AZ2">
        <f>REN_REC_LandfillGas</f>
        <v>0</v>
      </c>
      <c r="BA2">
        <f>REN_REC_SewageGas</f>
        <v>0</v>
      </c>
      <c r="BB2">
        <f>REN_REC_Solar</f>
        <v>0</v>
      </c>
      <c r="BC2">
        <f>REN_REC_Wind</f>
        <v>180273</v>
      </c>
      <c r="BD2">
        <f>REN_REC_WOT</f>
        <v>0</v>
      </c>
      <c r="BE2">
        <f>REN_RetailRevenueRequirement_2015</f>
        <v>329828796.27409834</v>
      </c>
      <c r="BF2">
        <f>REN_Submittal_Date</f>
        <v>42153</v>
      </c>
      <c r="BG2">
        <f>REN_Total_2015</f>
        <v>262883</v>
      </c>
      <c r="BH2" t="str">
        <f>REN_Utility_Name</f>
        <v>Tacoma Power</v>
      </c>
      <c r="BI2">
        <f>REN_ERR_LandfillGas</f>
        <v>0</v>
      </c>
      <c r="BJ2">
        <f>REN_ERR_SewageGas</f>
        <v>0</v>
      </c>
      <c r="BK2">
        <f>REN_ERR_Solar</f>
        <v>0</v>
      </c>
      <c r="BL2">
        <f>REN_ERR_Water</f>
        <v>70058</v>
      </c>
      <c r="BM2">
        <f>REN_ERR_Wind</f>
        <v>0</v>
      </c>
      <c r="BN2">
        <f>REN_ERR_WOT</f>
        <v>0</v>
      </c>
      <c r="BO2">
        <f>REN_Expenditure_Amount_2015</f>
        <v>2374970</v>
      </c>
      <c r="BP2">
        <f>REN_Expenditure_Percent_2015</f>
        <v>7.2006144606801513E-3</v>
      </c>
      <c r="BQ2">
        <f>REN_Load_2013</f>
        <v>4806761</v>
      </c>
      <c r="BR2">
        <f>REN_Load_2014</f>
        <v>4759936</v>
      </c>
      <c r="BS2">
        <f>REN_REC_ApprenticeLabor</f>
        <v>0</v>
      </c>
      <c r="BT2">
        <f>REN_REC_Biodiesel</f>
        <v>0</v>
      </c>
      <c r="BU2">
        <f>REN_REC_Biomass</f>
        <v>0</v>
      </c>
      <c r="BV2">
        <f>REN_REC_DistributedGeneration</f>
        <v>0</v>
      </c>
      <c r="BW2">
        <f>REN_REC_Geothermal</f>
        <v>0</v>
      </c>
      <c r="BX2">
        <f>REN_REC_LandfillGas</f>
        <v>0</v>
      </c>
      <c r="BY2">
        <f>REN_REC_SewageGas</f>
        <v>0</v>
      </c>
      <c r="BZ2">
        <f>REN_REC_Solar</f>
        <v>0</v>
      </c>
      <c r="CA2">
        <f>REN_REC_Wind</f>
        <v>180273</v>
      </c>
      <c r="CB2">
        <f>REN_REC_WOT</f>
        <v>0</v>
      </c>
      <c r="CC2">
        <f>REN_Submittal_Date</f>
        <v>42153</v>
      </c>
      <c r="CD2">
        <f>REN_Total_2015</f>
        <v>262883</v>
      </c>
      <c r="CE2" t="str">
        <f>REN_Utility_Name</f>
        <v>Tacoma Power</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Accomplishment_x0020__x002f__x0020_Target_x0020_Type xmlns="d6a557ec-81bb-4e06-8f53-02e7071b5b00">N/A</Accomplishment_x0020__x002f__x0020_Target_x0020_Type>
    <Document_x0020_Type xmlns="d6a557ec-81bb-4e06-8f53-02e7071b5b00"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087E63984B026438E29E14D86491EC4" ma:contentTypeVersion="2" ma:contentTypeDescription="Create a new document." ma:contentTypeScope="" ma:versionID="e94e40e5cbd8fec9d19cc65909331910">
  <xsd:schema xmlns:xsd="http://www.w3.org/2001/XMLSchema" xmlns:xs="http://www.w3.org/2001/XMLSchema" xmlns:p="http://schemas.microsoft.com/office/2006/metadata/properties" xmlns:ns2="d6a557ec-81bb-4e06-8f53-02e7071b5b00" targetNamespace="http://schemas.microsoft.com/office/2006/metadata/properties" ma:root="true" ma:fieldsID="a972184fcafaf3df22f0f6e6130a9551" ns2:_="">
    <xsd:import namespace="d6a557ec-81bb-4e06-8f53-02e7071b5b00"/>
    <xsd:element name="properties">
      <xsd:complexType>
        <xsd:sequence>
          <xsd:element name="documentManagement">
            <xsd:complexType>
              <xsd:all>
                <xsd:element ref="ns2:Document_x0020_Type" minOccurs="0"/>
                <xsd:element ref="ns2:Accomplishment_x0020__x002f__x0020_Target_x0020_Typ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6a557ec-81bb-4e06-8f53-02e7071b5b00" elementFormDefault="qualified">
    <xsd:import namespace="http://schemas.microsoft.com/office/2006/documentManagement/types"/>
    <xsd:import namespace="http://schemas.microsoft.com/office/infopath/2007/PartnerControls"/>
    <xsd:element name="Document_x0020_Type" ma:index="8" nillable="true" ma:displayName="Document Type" ma:default="" ma:format="Dropdown" ma:internalName="Document_x0020_Type">
      <xsd:simpleType>
        <xsd:restriction base="dms:Choice">
          <xsd:enumeration value="Internal Report"/>
          <xsd:enumeration value="Internal Presentation"/>
          <xsd:enumeration value="Accomplishment Report"/>
          <xsd:enumeration value="SAO Correspondence"/>
          <xsd:enumeration value="WAC"/>
          <xsd:enumeration value="Tacoma Power Tracking System To Do"/>
        </xsd:restriction>
      </xsd:simpleType>
    </xsd:element>
    <xsd:element name="Accomplishment_x0020__x002f__x0020_Target_x0020_Type" ma:index="9" nillable="true" ma:displayName="Accomplishment / Target Type" ma:default="N/A" ma:format="RadioButtons" ma:internalName="Accomplishment_x0020__x002f__x0020_Target_x0020_Type">
      <xsd:simpleType>
        <xsd:restriction base="dms:Choice">
          <xsd:enumeration value="N/A"/>
          <xsd:enumeration value="Efficiency"/>
          <xsd:enumeration value="Production"/>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5134EF7-F04D-4218-953F-7A835D8EE7C1}">
  <ds:schemaRefs>
    <ds:schemaRef ds:uri="http://schemas.openxmlformats.org/package/2006/metadata/core-properties"/>
    <ds:schemaRef ds:uri="http://purl.org/dc/terms/"/>
    <ds:schemaRef ds:uri="http://schemas.microsoft.com/office/2006/documentManagement/types"/>
    <ds:schemaRef ds:uri="http://purl.org/dc/dcmitype/"/>
    <ds:schemaRef ds:uri="d6a557ec-81bb-4e06-8f53-02e7071b5b00"/>
    <ds:schemaRef ds:uri="http://schemas.microsoft.com/office/2006/metadata/properties"/>
    <ds:schemaRef ds:uri="http://purl.org/dc/elements/1.1/"/>
    <ds:schemaRef ds:uri="http://schemas.microsoft.com/office/infopath/2007/PartnerControls"/>
    <ds:schemaRef ds:uri="http://www.w3.org/XML/1998/namespace"/>
  </ds:schemaRefs>
</ds:datastoreItem>
</file>

<file path=customXml/itemProps2.xml><?xml version="1.0" encoding="utf-8"?>
<ds:datastoreItem xmlns:ds="http://schemas.openxmlformats.org/officeDocument/2006/customXml" ds:itemID="{2F4EF345-C7A3-4312-A2DA-7A75ECC155C4}">
  <ds:schemaRefs>
    <ds:schemaRef ds:uri="http://schemas.microsoft.com/sharepoint/v3/contenttype/forms"/>
  </ds:schemaRefs>
</ds:datastoreItem>
</file>

<file path=customXml/itemProps3.xml><?xml version="1.0" encoding="utf-8"?>
<ds:datastoreItem xmlns:ds="http://schemas.openxmlformats.org/officeDocument/2006/customXml" ds:itemID="{7C75A471-89F8-43F6-A0AE-16EE2DE5FE4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6a557ec-81bb-4e06-8f53-02e7071b5b0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62</vt:i4>
      </vt:variant>
    </vt:vector>
  </HeadingPairs>
  <TitlesOfParts>
    <vt:vector size="68" baseType="lpstr">
      <vt:lpstr>Instructions - 2015</vt:lpstr>
      <vt:lpstr>Instructions - Revise 2013</vt:lpstr>
      <vt:lpstr>Conservation Report</vt:lpstr>
      <vt:lpstr>Renewables Report</vt:lpstr>
      <vt:lpstr>Renewable Cost Report</vt:lpstr>
      <vt:lpstr>Data</vt:lpstr>
      <vt:lpstr>CON_2014_Agriculture_Expend</vt:lpstr>
      <vt:lpstr>CON_2014_Agriculture_MWH</vt:lpstr>
      <vt:lpstr>CON_2014_Commercial_Expend</vt:lpstr>
      <vt:lpstr>CON_2014_Commercial_MWH</vt:lpstr>
      <vt:lpstr>CON_2014_Distribution_Expend</vt:lpstr>
      <vt:lpstr>CON_2014_Distribution_MWH</vt:lpstr>
      <vt:lpstr>CON_2014_Expenditures</vt:lpstr>
      <vt:lpstr>CON_2014_Industrial_Expend</vt:lpstr>
      <vt:lpstr>CON_2014_Industrial_MWH</vt:lpstr>
      <vt:lpstr>CON_2014_MWH</vt:lpstr>
      <vt:lpstr>CON_2014_NEEA_Expend</vt:lpstr>
      <vt:lpstr>CON_2014_NEEA_MWH</vt:lpstr>
      <vt:lpstr>CON_2014_OtherSector1_Expend</vt:lpstr>
      <vt:lpstr>CON_2014_OtherSector1_MWH</vt:lpstr>
      <vt:lpstr>CON_2014_OtherSector2_Expend</vt:lpstr>
      <vt:lpstr>CON_2014_OtherSector2_MWH</vt:lpstr>
      <vt:lpstr>CON_2014_Production_Expend</vt:lpstr>
      <vt:lpstr>CON_2014_Production_MWH</vt:lpstr>
      <vt:lpstr>CON_2014_Program1_Expend</vt:lpstr>
      <vt:lpstr>CON_2014_Program2_Expend</vt:lpstr>
      <vt:lpstr>CON_2014_Residential_Expend</vt:lpstr>
      <vt:lpstr>CON_2014_Residential_MWH</vt:lpstr>
      <vt:lpstr>CON_Contact_Name</vt:lpstr>
      <vt:lpstr>CON_Email</vt:lpstr>
      <vt:lpstr>CON_Phone</vt:lpstr>
      <vt:lpstr>CON_Potential_2014_2023</vt:lpstr>
      <vt:lpstr>CON_Report_Date</vt:lpstr>
      <vt:lpstr>CON_Target_2014_2015</vt:lpstr>
      <vt:lpstr>CON_Utility_Name</vt:lpstr>
      <vt:lpstr>'Conservation Report'!Print_Area</vt:lpstr>
      <vt:lpstr>'Renewable Cost Report'!Print_Area</vt:lpstr>
      <vt:lpstr>'Renewables Report'!Print_Area</vt:lpstr>
      <vt:lpstr>REN_Contact_Name</vt:lpstr>
      <vt:lpstr>REN_Email</vt:lpstr>
      <vt:lpstr>REN_ERR_ApprenticeLabor</vt:lpstr>
      <vt:lpstr>REN_ERR_Biodiesel</vt:lpstr>
      <vt:lpstr>REN_ERR_Biomass</vt:lpstr>
      <vt:lpstr>REN_ERR_Geothermal</vt:lpstr>
      <vt:lpstr>REN_ERR_LandfillGas</vt:lpstr>
      <vt:lpstr>REN_ERR_SewageGas</vt:lpstr>
      <vt:lpstr>REN_ERR_Solar</vt:lpstr>
      <vt:lpstr>REN_ERR_Water</vt:lpstr>
      <vt:lpstr>REN_ERR_Wind</vt:lpstr>
      <vt:lpstr>REN_ERR_WOT</vt:lpstr>
      <vt:lpstr>REN_Expenditure_Amount_2015</vt:lpstr>
      <vt:lpstr>REN_Expenditure_Percent_2015</vt:lpstr>
      <vt:lpstr>REN_Load_2013</vt:lpstr>
      <vt:lpstr>REN_Load_2014</vt:lpstr>
      <vt:lpstr>REN_REC_ApprenticeLabor</vt:lpstr>
      <vt:lpstr>REN_REC_Biodiesel</vt:lpstr>
      <vt:lpstr>REN_REC_Biomass</vt:lpstr>
      <vt:lpstr>REN_REC_DistributedGeneration</vt:lpstr>
      <vt:lpstr>REN_REC_Geothermal</vt:lpstr>
      <vt:lpstr>REN_REC_LandfillGas</vt:lpstr>
      <vt:lpstr>REN_REC_SewageGas</vt:lpstr>
      <vt:lpstr>REN_REC_Solar</vt:lpstr>
      <vt:lpstr>REN_REC_Wind</vt:lpstr>
      <vt:lpstr>REN_REC_WOT</vt:lpstr>
      <vt:lpstr>REN_RetailRevenueRequirement_2015</vt:lpstr>
      <vt:lpstr>REN_Submittal_Date</vt:lpstr>
      <vt:lpstr>REN_Total_2015</vt:lpstr>
      <vt:lpstr>REN_Utility_Name</vt:lpstr>
    </vt:vector>
  </TitlesOfParts>
  <Company>CTED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EIA 2015 Report Workbook for Utilities</dc:title>
  <dc:creator>Glenn Blackmon</dc:creator>
  <cp:keywords>EIA 2014 Report Workbook for Utilities</cp:keywords>
  <cp:lastModifiedBy>Dickens, Bill</cp:lastModifiedBy>
  <cp:lastPrinted>2014-03-31T21:01:12Z</cp:lastPrinted>
  <dcterms:created xsi:type="dcterms:W3CDTF">2012-03-20T21:01:26Z</dcterms:created>
  <dcterms:modified xsi:type="dcterms:W3CDTF">2015-06-03T20:52:48Z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0x0101007087E63984B026438E29E14D86491EC4</vt:lpwstr>
  </property>
  <property fmtid="{D5CDD505-2E9C-101B-9397-08002B2CF9AE}" pid="3" name="Tags">
    <vt:lpwstr/>
  </property>
  <property fmtid="{D5CDD505-2E9C-101B-9397-08002B2CF9AE}" pid="4" name="Order">
    <vt:r8>360100</vt:r8>
  </property>
  <property fmtid="{D5CDD505-2E9C-101B-9397-08002B2CF9AE}" pid="5" name="xd_Signature">
    <vt:bool>false</vt:bool>
  </property>
  <property fmtid="{D5CDD505-2E9C-101B-9397-08002B2CF9AE}" pid="6" name="xd_ProgID">
    <vt:lpwstr/>
  </property>
  <property fmtid="{D5CDD505-2E9C-101B-9397-08002B2CF9AE}" pid="7" name="TemplateUrl">
    <vt:lpwstr/>
  </property>
  <property fmtid="{D5CDD505-2E9C-101B-9397-08002B2CF9AE}" pid="8" name="BExAnalyzer_OldName">
    <vt:lpwstr>EIA_I937_2015_ReportWorkbook_Rev20150501.xlsx</vt:lpwstr>
  </property>
</Properties>
</file>