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30" yWindow="30" windowWidth="15030" windowHeight="6015" tabRatio="719" activeTab="3"/>
  </bookViews>
  <sheets>
    <sheet name="Instructions - 2015" sheetId="21" r:id="rId1"/>
    <sheet name="Instructions - Revise 2013" sheetId="20" r:id="rId2"/>
    <sheet name="Conservation Report" sheetId="18" r:id="rId3"/>
    <sheet name="Renewables Report" sheetId="16" r:id="rId4"/>
    <sheet name="Renewable Cost Report" sheetId="23" r:id="rId5"/>
    <sheet name="Data" sheetId="19" state="hidden" r:id="rId6"/>
  </sheets>
  <externalReferences>
    <externalReference r:id="rId7"/>
  </externalReferences>
  <definedNames>
    <definedName name="CON_2014_Agriculture_Expend">'Conservation Report'!$E$20</definedName>
    <definedName name="CON_2014_Agriculture_MWH">'Conservation Report'!$D$20</definedName>
    <definedName name="CON_2014_Commercial_Expend">'Conservation Report'!$E$18</definedName>
    <definedName name="CON_2014_Commercial_MWH">'Conservation Report'!$D$18</definedName>
    <definedName name="CON_2014_Distribution_Expend">'Conservation Report'!$E$21</definedName>
    <definedName name="CON_2014_Distribution_MWH">'Conservation Report'!$D$21</definedName>
    <definedName name="CON_2014_Expenditures">'Conservation Report'!$E$29</definedName>
    <definedName name="CON_2014_Industrial_Expend">'Conservation Report'!$E$19</definedName>
    <definedName name="CON_2014_Industrial_MWH">'Conservation Report'!$D$19</definedName>
    <definedName name="CON_2014_MWH">'Conservation Report'!$D$29</definedName>
    <definedName name="CON_2014_NEEA_Expend">'Conservation Report'!$E$23</definedName>
    <definedName name="CON_2014_NEEA_MWH">'Conservation Report'!$D$23</definedName>
    <definedName name="CON_2014_OtherSector1_Expend">'Conservation Report'!$E$24</definedName>
    <definedName name="CON_2014_OtherSector1_MWH">'Conservation Report'!$D$24</definedName>
    <definedName name="CON_2014_OtherSector2_Expend">'Conservation Report'!$E$25</definedName>
    <definedName name="CON_2014_OtherSector2_MWH">'Conservation Report'!$D$25</definedName>
    <definedName name="CON_2014_Production_Expend">'Conservation Report'!$E$22</definedName>
    <definedName name="CON_2014_Production_MWH">'Conservation Report'!$D$22</definedName>
    <definedName name="CON_2014_Program1_Expend">'Conservation Report'!$E$26</definedName>
    <definedName name="CON_2014_Program2_Expend">'Conservation Report'!$E$28</definedName>
    <definedName name="CON_2014_Residential_Expend">'Conservation Report'!$E$17</definedName>
    <definedName name="CON_2014_Residential_MWH">'Conservation Report'!$D$17</definedName>
    <definedName name="CON_Contact_Name">'Conservation Report'!$C$5</definedName>
    <definedName name="CON_Email">'Conservation Report'!$C$7</definedName>
    <definedName name="CON_Phone">'Conservation Report'!$C$6</definedName>
    <definedName name="CON_Potential_2014_2023">'Conservation Report'!$D$12</definedName>
    <definedName name="CON_Report_Date">'Conservation Report'!$C$4</definedName>
    <definedName name="CON_Target_2014_2015">'Conservation Report'!$E$12</definedName>
    <definedName name="CON_Utility_Name" localSheetId="0">'[1]Conservation Report'!$C$3:$E$3</definedName>
    <definedName name="CON_Utility_Name">'Conservation Report'!$C$3</definedName>
    <definedName name="_xlnm.Print_Area" localSheetId="2">'Conservation Report'!$A$1:$J$53</definedName>
    <definedName name="_xlnm.Print_Area" localSheetId="4">'Renewable Cost Report'!$B$1:$L$77</definedName>
    <definedName name="_xlnm.Print_Area" localSheetId="3">'Renewables Report'!$A$1:$O$136</definedName>
    <definedName name="REN_Contact_Name">'Renewables Report'!$C$5</definedName>
    <definedName name="REN_Email">'Renewables Report'!$C$7</definedName>
    <definedName name="REN_ERR_ApprenticeLabor">'Renewables Report'!$L$18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5">'Renewables Report'!$N$11</definedName>
    <definedName name="REN_Expenditure_Percent_2015">'Renewables Report'!$N$13</definedName>
    <definedName name="REN_Load_2013">'Renewables Report'!$N$3</definedName>
    <definedName name="REN_Load_2014">'Renewables Report'!$N$4</definedName>
    <definedName name="REN_REC_ApprenticeLabor">'Renewables Report'!$L$19</definedName>
    <definedName name="REN_REC_Biodiesel">'Renewables Report'!$J$19</definedName>
    <definedName name="REN_REC_Biomass">'Renewables Report'!$K$19</definedName>
    <definedName name="REN_REC_DistributedGeneration">'Renewables Report'!$M$19</definedName>
    <definedName name="REN_REC_Geothermal">'Renewables Report'!$F$19</definedName>
    <definedName name="REN_REC_LandfillGas">'Renewables Report'!$G$19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5">'Renewables Report'!$N$12</definedName>
    <definedName name="REN_Submittal_Date">'Renewables Report'!$C$4</definedName>
    <definedName name="REN_Total_2015">'Renewables Report'!$N$8</definedName>
    <definedName name="REN_Utility_Name">'Renewables Report'!$C$3</definedName>
  </definedNames>
  <calcPr calcId="152511"/>
</workbook>
</file>

<file path=xl/calcChain.xml><?xml version="1.0" encoding="utf-8"?>
<calcChain xmlns="http://schemas.openxmlformats.org/spreadsheetml/2006/main">
  <c r="N13" i="16" l="1"/>
  <c r="N5" i="16"/>
  <c r="N7" i="16" s="1"/>
  <c r="E37" i="23" l="1"/>
  <c r="E38" i="23"/>
  <c r="E39" i="23"/>
  <c r="E40" i="23"/>
  <c r="E41" i="23"/>
  <c r="E42" i="23"/>
  <c r="E43" i="23"/>
  <c r="E44" i="23"/>
  <c r="E45" i="23"/>
  <c r="E46" i="23"/>
  <c r="E47" i="23"/>
  <c r="E48" i="23"/>
  <c r="E49" i="23"/>
  <c r="E50" i="23"/>
  <c r="E51" i="23"/>
  <c r="E52" i="23"/>
  <c r="E53" i="23"/>
  <c r="E54" i="23"/>
  <c r="E55" i="23"/>
  <c r="E56" i="23"/>
  <c r="E57" i="23"/>
  <c r="E58" i="23"/>
  <c r="E59" i="23"/>
  <c r="E36" i="23"/>
  <c r="E35" i="23"/>
  <c r="G36" i="23" l="1"/>
  <c r="L7" i="23"/>
  <c r="G37" i="23"/>
  <c r="G38" i="23"/>
  <c r="G39" i="23"/>
  <c r="G41" i="23"/>
  <c r="G42" i="23"/>
  <c r="G43" i="23"/>
  <c r="G44" i="23"/>
  <c r="G45" i="23"/>
  <c r="G46" i="23"/>
  <c r="G47" i="23"/>
  <c r="G48" i="23"/>
  <c r="G49" i="23"/>
  <c r="G50" i="23"/>
  <c r="G51" i="23"/>
  <c r="G52" i="23"/>
  <c r="G53" i="23"/>
  <c r="G54" i="23"/>
  <c r="G55" i="23"/>
  <c r="G56" i="23"/>
  <c r="G57" i="23"/>
  <c r="G58" i="23"/>
  <c r="G59" i="23"/>
  <c r="G35" i="23"/>
  <c r="L27" i="23" l="1"/>
  <c r="L26" i="23"/>
  <c r="L25" i="23"/>
  <c r="L24" i="23"/>
  <c r="L23" i="23"/>
  <c r="L22" i="23"/>
  <c r="L21" i="23"/>
  <c r="L20" i="23"/>
  <c r="L19" i="23"/>
  <c r="L18" i="23"/>
  <c r="L17" i="23"/>
  <c r="L16" i="23"/>
  <c r="L15" i="23"/>
  <c r="L14" i="23"/>
  <c r="L13" i="23"/>
  <c r="L12" i="23"/>
  <c r="L11" i="23"/>
  <c r="L10" i="23"/>
  <c r="L9" i="23"/>
  <c r="L8" i="23"/>
  <c r="BE2" i="19"/>
  <c r="CE2" i="19" l="1"/>
  <c r="CC2" i="19"/>
  <c r="BR2" i="19"/>
  <c r="BQ2" i="19"/>
  <c r="BH2" i="19"/>
  <c r="BF2" i="19"/>
  <c r="AT2" i="19"/>
  <c r="AS2" i="19"/>
  <c r="AF2" i="19"/>
  <c r="AE2" i="19"/>
  <c r="AD2" i="19"/>
  <c r="AC2" i="19"/>
  <c r="AB2" i="19"/>
  <c r="AA2" i="19"/>
  <c r="Z2" i="19"/>
  <c r="Y2" i="19"/>
  <c r="X2" i="19"/>
  <c r="W2" i="19"/>
  <c r="V2" i="19"/>
  <c r="U2" i="19"/>
  <c r="T2" i="19"/>
  <c r="S2" i="19"/>
  <c r="R2" i="19"/>
  <c r="Q2" i="19"/>
  <c r="P2" i="19"/>
  <c r="O2" i="19"/>
  <c r="N2" i="19"/>
  <c r="M2" i="19"/>
  <c r="L2" i="19"/>
  <c r="J2" i="19"/>
  <c r="I2" i="19"/>
  <c r="G2" i="19"/>
  <c r="F2" i="19"/>
  <c r="E2" i="19"/>
  <c r="D2" i="19"/>
  <c r="C2" i="19"/>
  <c r="B2" i="19"/>
  <c r="F60" i="23"/>
  <c r="D59" i="23"/>
  <c r="C59" i="23"/>
  <c r="D58" i="23"/>
  <c r="C58" i="23"/>
  <c r="D57" i="23"/>
  <c r="C57" i="23"/>
  <c r="D56" i="23"/>
  <c r="C56" i="23"/>
  <c r="D55" i="23"/>
  <c r="C55" i="23"/>
  <c r="D54" i="23"/>
  <c r="C54" i="23"/>
  <c r="D53" i="23"/>
  <c r="C53" i="23"/>
  <c r="D52" i="23"/>
  <c r="C52" i="23"/>
  <c r="D51" i="23"/>
  <c r="C51" i="23"/>
  <c r="D50" i="23"/>
  <c r="C50" i="23"/>
  <c r="D49" i="23"/>
  <c r="C49" i="23"/>
  <c r="D48" i="23"/>
  <c r="C48" i="23"/>
  <c r="D47" i="23"/>
  <c r="C47" i="23"/>
  <c r="D46" i="23"/>
  <c r="C46" i="23"/>
  <c r="D45" i="23"/>
  <c r="C45" i="23"/>
  <c r="D44" i="23"/>
  <c r="C44" i="23"/>
  <c r="D43" i="23"/>
  <c r="C43" i="23"/>
  <c r="D42" i="23"/>
  <c r="C42" i="23"/>
  <c r="D41" i="23"/>
  <c r="C41" i="23"/>
  <c r="D40" i="23"/>
  <c r="C40" i="23"/>
  <c r="D39" i="23"/>
  <c r="C39" i="23"/>
  <c r="D38" i="23"/>
  <c r="C38" i="23"/>
  <c r="D37" i="23"/>
  <c r="C37" i="23"/>
  <c r="D36" i="23"/>
  <c r="C36" i="23"/>
  <c r="D35" i="23"/>
  <c r="C35" i="23"/>
  <c r="B59" i="23"/>
  <c r="B58" i="23"/>
  <c r="B57" i="23"/>
  <c r="B56" i="23"/>
  <c r="B55" i="23"/>
  <c r="B54" i="23"/>
  <c r="B53" i="23"/>
  <c r="B52" i="23"/>
  <c r="B51" i="23"/>
  <c r="B50" i="23"/>
  <c r="B49" i="23"/>
  <c r="B48" i="23"/>
  <c r="B47" i="23"/>
  <c r="B46" i="23"/>
  <c r="B45" i="23"/>
  <c r="B44" i="23"/>
  <c r="B43" i="23"/>
  <c r="B42" i="23"/>
  <c r="B41" i="23"/>
  <c r="B40" i="23"/>
  <c r="B39" i="23"/>
  <c r="B38" i="23"/>
  <c r="B37" i="23"/>
  <c r="B36" i="23"/>
  <c r="B35" i="23"/>
  <c r="E28" i="23"/>
  <c r="J28" i="23"/>
  <c r="D8" i="23"/>
  <c r="F8" i="23" s="1"/>
  <c r="D9" i="23"/>
  <c r="K9" i="23" s="1"/>
  <c r="D10" i="23"/>
  <c r="F10" i="23" s="1"/>
  <c r="D11" i="23"/>
  <c r="K11" i="23" s="1"/>
  <c r="D12" i="23"/>
  <c r="K12" i="23" s="1"/>
  <c r="D13" i="23"/>
  <c r="K13" i="23" s="1"/>
  <c r="D14" i="23"/>
  <c r="F14" i="23" s="1"/>
  <c r="D15" i="23"/>
  <c r="K15" i="23" s="1"/>
  <c r="D16" i="23"/>
  <c r="K16" i="23" s="1"/>
  <c r="D17" i="23"/>
  <c r="K17" i="23" s="1"/>
  <c r="D18" i="23"/>
  <c r="F18" i="23" s="1"/>
  <c r="D19" i="23"/>
  <c r="F19" i="23" s="1"/>
  <c r="D20" i="23"/>
  <c r="K20" i="23" s="1"/>
  <c r="D21" i="23"/>
  <c r="K21" i="23" s="1"/>
  <c r="D22" i="23"/>
  <c r="F22" i="23" s="1"/>
  <c r="D23" i="23"/>
  <c r="K23" i="23" s="1"/>
  <c r="D24" i="23"/>
  <c r="F24" i="23" s="1"/>
  <c r="D25" i="23"/>
  <c r="K25" i="23" s="1"/>
  <c r="D26" i="23"/>
  <c r="F26" i="23" s="1"/>
  <c r="D27" i="23"/>
  <c r="F27" i="23" s="1"/>
  <c r="D7" i="23"/>
  <c r="F7" i="23" s="1"/>
  <c r="K26" i="23" l="1"/>
  <c r="K10" i="23"/>
  <c r="K18" i="23"/>
  <c r="L28" i="23"/>
  <c r="F16" i="23"/>
  <c r="K8" i="23"/>
  <c r="K24" i="23"/>
  <c r="F20" i="23"/>
  <c r="K7" i="23"/>
  <c r="K14" i="23"/>
  <c r="K22" i="23"/>
  <c r="D28" i="23"/>
  <c r="F12" i="23"/>
  <c r="F23" i="23"/>
  <c r="F15" i="23"/>
  <c r="K19" i="23"/>
  <c r="K27" i="23"/>
  <c r="F25" i="23"/>
  <c r="F21" i="23"/>
  <c r="F17" i="23"/>
  <c r="F13" i="23"/>
  <c r="F9" i="23"/>
  <c r="F11" i="23"/>
  <c r="B7" i="23"/>
  <c r="C7" i="23"/>
  <c r="B8" i="23"/>
  <c r="C8" i="23"/>
  <c r="B9" i="23"/>
  <c r="C9" i="23"/>
  <c r="B10" i="23"/>
  <c r="C10" i="23"/>
  <c r="B11" i="23"/>
  <c r="C11" i="23"/>
  <c r="B12" i="23"/>
  <c r="C12" i="23"/>
  <c r="B13" i="23"/>
  <c r="C13" i="23"/>
  <c r="B14" i="23"/>
  <c r="C14" i="23"/>
  <c r="B15" i="23"/>
  <c r="C15" i="23"/>
  <c r="B16" i="23"/>
  <c r="C16" i="23"/>
  <c r="B17" i="23"/>
  <c r="C17" i="23"/>
  <c r="B18" i="23"/>
  <c r="C18" i="23"/>
  <c r="B19" i="23"/>
  <c r="C19" i="23"/>
  <c r="B20" i="23"/>
  <c r="C20" i="23"/>
  <c r="B21" i="23"/>
  <c r="C21" i="23"/>
  <c r="B22" i="23"/>
  <c r="C22" i="23"/>
  <c r="B23" i="23"/>
  <c r="C23" i="23"/>
  <c r="B24" i="23"/>
  <c r="C24" i="23"/>
  <c r="B25" i="23"/>
  <c r="C25" i="23"/>
  <c r="B26" i="23"/>
  <c r="C26" i="23"/>
  <c r="B27" i="23"/>
  <c r="C27" i="23"/>
  <c r="F3" i="23"/>
  <c r="F30" i="23" s="1"/>
  <c r="BO2" i="19" l="1"/>
  <c r="AQ2" i="19"/>
  <c r="N5" i="21"/>
  <c r="N7" i="20"/>
  <c r="A2" i="19" l="1"/>
  <c r="AR2" i="19" l="1"/>
  <c r="BP2" i="19"/>
  <c r="C18" i="16"/>
  <c r="D18" i="16"/>
  <c r="E18" i="16"/>
  <c r="F18" i="16"/>
  <c r="AJ2" i="19" s="1"/>
  <c r="G18" i="16"/>
  <c r="H18" i="16"/>
  <c r="I18" i="16"/>
  <c r="J18" i="16"/>
  <c r="AH2" i="19" s="1"/>
  <c r="K18" i="16"/>
  <c r="AI2" i="19" s="1"/>
  <c r="L18" i="16"/>
  <c r="AG2" i="19" s="1"/>
  <c r="BJ2" i="19" l="1"/>
  <c r="AL2" i="19"/>
  <c r="AM2" i="19"/>
  <c r="BK2" i="19"/>
  <c r="BN2" i="19"/>
  <c r="AP2" i="19"/>
  <c r="BI2" i="19"/>
  <c r="AK2" i="19"/>
  <c r="AN2" i="19"/>
  <c r="BL2" i="19"/>
  <c r="BM2" i="19"/>
  <c r="AO2" i="19"/>
  <c r="C31" i="18"/>
  <c r="E29" i="18" l="1"/>
  <c r="H2" i="19" s="1"/>
  <c r="D29" i="18"/>
  <c r="K2" i="19" s="1"/>
  <c r="M19" i="16" l="1"/>
  <c r="AX2" i="19" l="1"/>
  <c r="BV2" i="19"/>
  <c r="M20" i="16"/>
  <c r="F98" i="16"/>
  <c r="F66" i="16"/>
  <c r="F36" i="16"/>
  <c r="K19" i="16"/>
  <c r="J19" i="16"/>
  <c r="I19" i="16"/>
  <c r="H19" i="16"/>
  <c r="G19" i="16"/>
  <c r="F19" i="16"/>
  <c r="E19" i="16"/>
  <c r="C20" i="16"/>
  <c r="BB2" i="19" l="1"/>
  <c r="BZ2" i="19"/>
  <c r="BY2" i="19"/>
  <c r="BA2" i="19"/>
  <c r="AY2" i="19"/>
  <c r="BW2" i="19"/>
  <c r="BT2" i="19"/>
  <c r="AV2" i="19"/>
  <c r="AU2" i="19"/>
  <c r="BS2" i="19"/>
  <c r="BX2" i="19"/>
  <c r="AZ2" i="19"/>
  <c r="BU2" i="19"/>
  <c r="AW2" i="19"/>
  <c r="BD2" i="19"/>
  <c r="CB2" i="19"/>
  <c r="CA2" i="19"/>
  <c r="BC2" i="19"/>
  <c r="F20" i="16"/>
  <c r="J20" i="16"/>
  <c r="E20" i="16"/>
  <c r="G20" i="16"/>
  <c r="I20" i="16"/>
  <c r="H20" i="16"/>
  <c r="L20" i="16"/>
  <c r="D20" i="16"/>
  <c r="K20" i="16"/>
  <c r="CD2" i="19" l="1"/>
  <c r="BG2" i="19"/>
</calcChain>
</file>

<file path=xl/sharedStrings.xml><?xml version="1.0" encoding="utf-8"?>
<sst xmlns="http://schemas.openxmlformats.org/spreadsheetml/2006/main" count="329" uniqueCount="213">
  <si>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</si>
  <si>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</si>
  <si>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</si>
  <si>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</si>
  <si>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</si>
  <si>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</si>
  <si>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</si>
  <si>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</si>
  <si>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</si>
  <si>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</si>
  <si>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</si>
  <si>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</si>
  <si>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</si>
  <si>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</si>
  <si>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</si>
  <si>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</si>
  <si>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</si>
  <si>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</si>
  <si>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</si>
  <si>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</si>
  <si>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</si>
  <si>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</si>
  <si>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</si>
  <si>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</si>
  <si>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</si>
  <si>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</si>
  <si>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</si>
  <si>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</si>
  <si>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</si>
  <si>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</si>
  <si>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</si>
  <si>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</si>
  <si>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</si>
  <si>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</si>
  <si>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</si>
  <si>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</si>
  <si>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Conservation Notes:</t>
  </si>
  <si>
    <t xml:space="preserve"> Distribution Efficiency</t>
  </si>
  <si>
    <t xml:space="preserve"> Production Efficiency</t>
  </si>
  <si>
    <t>Renewable Resources</t>
  </si>
  <si>
    <t xml:space="preserve">Wave, Ocean, Tidal </t>
  </si>
  <si>
    <t>Wave, Ocean, Tidal</t>
  </si>
  <si>
    <t>Conservation by Sector</t>
  </si>
  <si>
    <t>Eligible Renewable Resources (MWh)</t>
  </si>
  <si>
    <t>Renewable Energy Credits (MWh)</t>
  </si>
  <si>
    <t>Total Renewables (MWh)</t>
  </si>
  <si>
    <t>Loads and Resources</t>
  </si>
  <si>
    <t>Target Year</t>
  </si>
  <si>
    <t>Select</t>
  </si>
  <si>
    <t xml:space="preserve">19.285.040 (2)(b) Renewables Target </t>
  </si>
  <si>
    <t>19.285.040 (2)(d) No Load Growth</t>
  </si>
  <si>
    <t xml:space="preserve">19.285.050 Incremental Resource Cost  </t>
  </si>
  <si>
    <t>Eligible Renewables Acquisitions / Investments (MWh)</t>
  </si>
  <si>
    <t>2013 Annual Load (MWh)</t>
  </si>
  <si>
    <t>WREGIS ID</t>
  </si>
  <si>
    <t>REC Year</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</si>
  <si>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</si>
  <si>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</si>
  <si>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</si>
  <si>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</si>
  <si>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</si>
  <si>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</si>
  <si>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</si>
  <si>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</si>
  <si>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</si>
  <si>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</si>
  <si>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     (j)</t>
  </si>
  <si>
    <t>     (k)</t>
  </si>
  <si>
    <t>CON_Contact_Name</t>
  </si>
  <si>
    <t>CON_Email</t>
  </si>
  <si>
    <t>CON_Phone</t>
  </si>
  <si>
    <t>CON_Report_Date</t>
  </si>
  <si>
    <t>CON_Utility_Name</t>
  </si>
  <si>
    <t>REN_Contact_Name</t>
  </si>
  <si>
    <t>REN_Email</t>
  </si>
  <si>
    <t>REN_Submittal_Date</t>
  </si>
  <si>
    <t>REN_Utility_Name</t>
  </si>
  <si>
    <t>CON_Potential_2014_2023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</si>
  <si>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</si>
  <si>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</si>
  <si>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</si>
  <si>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</si>
  <si>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</si>
  <si>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</si>
  <si>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</si>
  <si>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</si>
  <si>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</si>
  <si>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</si>
  <si>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</si>
  <si>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</si>
  <si>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</si>
  <si>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</si>
  <si>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</si>
  <si>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</si>
  <si>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</si>
  <si>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</si>
  <si>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</si>
  <si>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</si>
  <si>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</si>
  <si>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</si>
  <si>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</si>
  <si>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</si>
  <si>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Investment in renewables and RECs as a percent of retail revenue requirement</t>
  </si>
  <si>
    <t>REN_Expenditure_Amount_2014</t>
  </si>
  <si>
    <t>REN_Expenditure_Percent_2014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</si>
  <si>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</si>
  <si>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</si>
  <si>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r>
      <t xml:space="preserve">Energy Independence Act (I-937) </t>
    </r>
    <r>
      <rPr>
        <sz val="11"/>
        <color rgb="FF000000"/>
        <rFont val="Arial Black"/>
        <family val="2"/>
      </rPr>
      <t>Report Workbook Instructions</t>
    </r>
  </si>
  <si>
    <r>
      <t>Questions:</t>
    </r>
    <r>
      <rPr>
        <sz val="11"/>
        <color rgb="FF000000"/>
        <rFont val="Arial"/>
        <family val="2"/>
      </rPr>
      <t xml:space="preserve"> Glenn Blackmon, State Energy Office, (360) 725-3115</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</si>
  <si>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</si>
  <si>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</si>
  <si>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Planning:</t>
    </r>
    <r>
      <rPr>
        <sz val="11"/>
        <color rgb="FF000000"/>
        <rFont val="Arial"/>
        <family val="2"/>
      </rPr>
      <t xml:space="preserve"> </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</si>
  <si>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</si>
  <si>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</si>
  <si>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</si>
  <si>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</si>
  <si>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t>Additional reporting for compliance option 19.285.040(2)(d), “no load growth”</t>
  </si>
  <si>
    <t>Additional reporting for compliance option RCW 19.285.050, “cost cap”</t>
  </si>
  <si>
    <r>
      <t>[Page 4] Notes:</t>
    </r>
    <r>
      <rPr>
        <sz val="11"/>
        <color rgb="FF000000"/>
        <rFont val="Arial"/>
        <family val="2"/>
      </rPr>
      <t xml:space="preserve"> Provide any additional information needed to support your renewables data.</t>
    </r>
  </si>
  <si>
    <t>Revised 3/31/2015</t>
  </si>
  <si>
    <r>
      <t>Deadline:</t>
    </r>
    <r>
      <rPr>
        <sz val="11"/>
        <color rgb="FF000000"/>
        <rFont val="Arial"/>
        <family val="2"/>
      </rPr>
      <t xml:space="preserve"> Monday, June 1, 2015</t>
    </r>
  </si>
  <si>
    <t xml:space="preserve">Please use the 2013 template and mark it as "revised." Contact Commerce to obtain a copy of the 2013 reporting template if necessary. </t>
  </si>
  <si>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(Effective April 6, 2015)</t>
    </r>
  </si>
  <si>
    <r>
      <t xml:space="preserve">Mid-Term Reporting Context: </t>
    </r>
    <r>
      <rPr>
        <sz val="11"/>
        <color rgb="FF000000"/>
        <rFont val="Arial"/>
        <family val="2"/>
      </rPr>
      <t>This report summarizes 2014 conservation achievement halfway through the 2014-15 biennium. In the “Achievement” section include only values that have been documented to date. Do not include anticipated achievements. If you would like to discuss pending achievements, do so in the “conservation notes” section of this worksheet.</t>
    </r>
  </si>
  <si>
    <t>2014 Achievement</t>
  </si>
  <si>
    <r>
      <rPr>
        <sz val="12"/>
        <color theme="1"/>
        <rFont val="Arial"/>
        <family val="2"/>
      </rPr>
      <t xml:space="preserve">Energy Independence Act (I-937) </t>
    </r>
    <r>
      <rPr>
        <sz val="12"/>
        <color theme="1"/>
        <rFont val="Arial Black"/>
        <family val="2"/>
      </rPr>
      <t>Conservation Report 2015</t>
    </r>
  </si>
  <si>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</si>
  <si>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</si>
  <si>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</si>
  <si>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</si>
  <si>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</si>
  <si>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</si>
  <si>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</si>
  <si>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</si>
  <si>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</si>
  <si>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</si>
  <si>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</si>
  <si>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</si>
  <si>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</si>
  <si>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</si>
  <si>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</si>
  <si>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</si>
  <si>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</si>
  <si>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</si>
  <si>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</si>
  <si>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</si>
  <si>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</si>
  <si>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Annual Cost in 2015</t>
  </si>
  <si>
    <t>Substitute Resource Annual Cost in 2015</t>
  </si>
  <si>
    <t>Renewable Resource Cost per MWH</t>
  </si>
  <si>
    <t>Substitute Resource Cost per MWH</t>
  </si>
  <si>
    <t>Incremental Cost of Renewable Resource in 2015</t>
  </si>
  <si>
    <t>Totals</t>
  </si>
  <si>
    <t>2014 Annual Load (MWh)</t>
  </si>
  <si>
    <t>Average of 2013 &amp; 2014 Annual Loads (MWh)</t>
  </si>
  <si>
    <t>2015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</si>
  <si>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2015</t>
    </r>
  </si>
  <si>
    <r>
      <t>·</t>
    </r>
    <r>
      <rPr>
        <sz val="7"/>
        <color rgb="FF000000"/>
        <rFont val="Times New Roman"/>
        <family val="1"/>
      </rPr>
      <t xml:space="preserve">         </t>
    </r>
    <r>
      <rPr>
        <sz val="11"/>
        <color rgb="FF000000"/>
        <rFont val="Arial"/>
        <family val="2"/>
      </rPr>
      <t xml:space="preserve">For the period starting January 2014, report the utility’s 10-year potential and two-year target. </t>
    </r>
    <r>
      <rPr>
        <i/>
        <sz val="11"/>
        <color rgb="FF000000"/>
        <rFont val="Arial"/>
        <family val="2"/>
      </rPr>
      <t>If the 2014-2015 target is different from the value in the utility’s June 1, 2014, report, please provide an explanation of the difference in the Conservation Notes section.</t>
    </r>
    <r>
      <rPr>
        <sz val="11"/>
        <color rgb="FF000000"/>
        <rFont val="Arial"/>
        <family val="2"/>
      </rPr>
      <t xml:space="preserve">  </t>
    </r>
  </si>
  <si>
    <r>
      <t>Achievement:</t>
    </r>
    <r>
      <rPr>
        <sz val="11"/>
        <color rgb="FF000000"/>
        <rFont val="Arial"/>
        <family val="2"/>
      </rPr>
      <t xml:space="preserve"> Report the total electricity savings and expenditures for conservation by the following sectors: Residential, commercial, industrial, agricultural, distribution system, and production system. A utility may report results achieved through nonutility programs, as identified in WAC 194-37-080(5), by program, if the results are not included in the reported results by customer sector.</t>
    </r>
  </si>
  <si>
    <t>Renewable Expenditures</t>
  </si>
  <si>
    <r>
      <rPr>
        <b/>
        <sz val="11"/>
        <color rgb="FF000000"/>
        <rFont val="Arial"/>
        <family val="2"/>
      </rPr>
      <t>Renewable Cost Report</t>
    </r>
    <r>
      <rPr>
        <sz val="11"/>
        <color rgb="FF000000"/>
        <rFont val="Arial"/>
        <family val="2"/>
      </rPr>
      <t xml:space="preserve"> is used to document and report renewable expenditures. For each renewable resource, report the total cost in 2015 of energy used for EIA compliance, the substitute resource associated with the renewable resource, and the total cost in 2015 that the utility would have incurred for the substitute resource.</t>
    </r>
  </si>
  <si>
    <t xml:space="preserve">Utilities must report the percentage of retail revenue requirement invested in the incremental cost of eligible renewable resources and the cost of renewable energy credits. </t>
  </si>
  <si>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enter each vintage on a separate row.</t>
    </r>
  </si>
  <si>
    <t>Utilities electing to comply using the no-load growth method should attach a separate report with the data elements specified in WAC 194-37-110(5). Investor owned utilities should provide a summary of documentation required by the Utilities and Transportation Commission.</t>
  </si>
  <si>
    <t>Utilities electing to comply using the cost cap method should attach a separate report with the data elements specified in WAC 194-37-110(4). Investor owned utilities should provide a summary of documentation required by the Utilities and Transportation Commission.</t>
  </si>
  <si>
    <t>Notes and explanations for reporting incremental costs and cost of RECs:</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</si>
  <si>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2015</t>
    </r>
  </si>
  <si>
    <t>Incremental Cost of Renewable Resources</t>
  </si>
  <si>
    <t xml:space="preserve">Cost of Renewable Energy Credits </t>
  </si>
  <si>
    <t>2015 Eligible Renewable Energy Target (MWh)</t>
  </si>
  <si>
    <t>Total annual retail revenue requirement - 2015</t>
  </si>
  <si>
    <t>CON_2014_NEEA_Expend</t>
  </si>
  <si>
    <t>CON_2014_NEEA_MWH</t>
  </si>
  <si>
    <t>REN_Expenditure_Amount_2015</t>
  </si>
  <si>
    <t>REN_Expenditure_Percent_2015</t>
  </si>
  <si>
    <t>REN_Load_2014</t>
  </si>
  <si>
    <t>REN_Total_2015</t>
  </si>
  <si>
    <t>REN_RetailRevenueRequirement_2015</t>
  </si>
  <si>
    <t>The Energy Independence Act (EIA) “RCW 19.285.070, Reporting and public disclosure” requires each qualifying utility to submit an annual report describing compliance with the law. 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</si>
  <si>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Contains one worksheet for Conservation, one worksheet for Renewables, and one worksheet for Renewable Cost.</t>
    </r>
  </si>
  <si>
    <t>Green-shaded cells are for data input.</t>
  </si>
  <si>
    <t>Blue-shaded cells are calculated amounts and formulas. No data entry required in blue cells.</t>
  </si>
  <si>
    <r>
      <t>The workbook requests numeric summaries as well as narratives and supporting notes. Commerce relies on the utilities to provide enough detail in the written section to ensure members of the public understand the data provided. S</t>
    </r>
    <r>
      <rPr>
        <b/>
        <sz val="11"/>
        <color rgb="FF000000"/>
        <rFont val="Arial"/>
        <family val="2"/>
      </rPr>
      <t>ubmit this Workbook in Excel format (i.e., do not submit in PDF format).</t>
    </r>
  </si>
  <si>
    <r>
      <t>Conservation Expenditures NOT included in Sector Expenditures:</t>
    </r>
    <r>
      <rPr>
        <sz val="11"/>
        <color rgb="FF000000"/>
        <rFont val="Arial"/>
        <family val="2"/>
      </rPr>
      <t xml:space="preserve"> Some utilities do not assign expenditures on staff, overhead, information services or other conservation- related expenses to specific sectors. If that is the case, provide additional cost-related information in this section of the worksheet. Do not include energy savings estimates in this section.</t>
    </r>
  </si>
  <si>
    <r>
      <t xml:space="preserve">Conservation Notes: </t>
    </r>
    <r>
      <rPr>
        <sz val="11"/>
        <color rgb="FF000000"/>
        <rFont val="Arial"/>
        <family val="2"/>
      </rPr>
      <t xml:space="preserve"> This is a place for any additional explanatory statements, web links or references the utility would like to include.</t>
    </r>
  </si>
  <si>
    <r>
      <t>Reporting Context:</t>
    </r>
    <r>
      <rPr>
        <sz val="11"/>
        <color rgb="FF000000"/>
        <rFont val="Arial"/>
        <family val="2"/>
      </rPr>
      <t xml:space="preserve"> The June 1, 2015, renewable energy report summarizes the eligible renewables resource and renewable energy credits that the utility has acquired and or has under contract by January 1, 2015. This describes the renewables acquisitions and investments made prior to the beginning of the target year to meet the requirements of the EIA. </t>
    </r>
  </si>
  <si>
    <r>
      <t>Compliance Method:</t>
    </r>
    <r>
      <rPr>
        <sz val="11"/>
        <color rgb="FF000000"/>
        <rFont val="Arial"/>
        <family val="2"/>
      </rPr>
      <t xml:space="preserve"> Select one of the three compliance methods that the utility intends to use. The EIA provides three compliance methods. A utility must make that determination by January 1, 2015 and must include information establishing its compliance method in this report.</t>
    </r>
  </si>
  <si>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480-109-120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</si>
  <si>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(b) and apprentice labor MWh equivalents in column (k).</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</si>
  <si>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</si>
  <si>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t>RENEWABLE ENERGY WORKSHEET – REVISIONS TO 2013 REPORT</t>
  </si>
  <si>
    <r>
      <t xml:space="preserve">In addition to submitting the 2015 report, each qualifying utility should review the renewable energy report it submitted in 2013. In many cases, the specific resources and quantities actually used to comply with the 2013 target differ from what the utility reported in June 2013. </t>
    </r>
    <r>
      <rPr>
        <u/>
        <sz val="11"/>
        <color theme="1"/>
        <rFont val="Arial"/>
        <family val="2"/>
      </rPr>
      <t>Utilities should submit a revised 2013 report if the actual values differ from the values reported in 2013.</t>
    </r>
    <r>
      <rPr>
        <sz val="11"/>
        <color theme="1"/>
        <rFont val="Arial"/>
        <family val="2"/>
      </rPr>
      <t xml:space="preserve"> </t>
    </r>
  </si>
  <si>
    <t>Expenditures on Renewable Resources and RECs - 2015</t>
  </si>
  <si>
    <t>2015 Compliance Method:</t>
  </si>
  <si>
    <t>Number of RECs</t>
  </si>
  <si>
    <t>Annual Cost of Renewable Energy Credits</t>
  </si>
  <si>
    <t>Cost per REC</t>
  </si>
  <si>
    <t>Peninsula Light Company</t>
  </si>
  <si>
    <t>253.857.1526</t>
  </si>
  <si>
    <t>sharons@penlight.org</t>
  </si>
  <si>
    <t>Condon Wind Power Project</t>
  </si>
  <si>
    <t>W774</t>
  </si>
  <si>
    <t>Condon Wind Power Project- Phase II</t>
  </si>
  <si>
    <t>W833</t>
  </si>
  <si>
    <t>Klondike III- Klondike Wind Power III LLC</t>
  </si>
  <si>
    <t>W237</t>
  </si>
  <si>
    <t>Klondike I- Klondike Wind Power LLC</t>
  </si>
  <si>
    <t>W238</t>
  </si>
  <si>
    <t>Stateline(WA)- FPL Energy Vansycle LLC</t>
  </si>
  <si>
    <t>W248</t>
  </si>
  <si>
    <t>Harvest Wind</t>
  </si>
  <si>
    <t>W1306</t>
  </si>
  <si>
    <t>Sharon Silver / Power Resources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</si>
</sst>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 numFmtId="170" formatCode="&quot;$&quot;#,##0.00"/>
  </numFmts>
  <fonts count="35" x14ac:knownFonts="1">
    <font>
      <sz val="11"/>
      <color theme="1"/>
      <name val="Calibri"/>
      <family val="2"/>
      <scheme val="minor"/>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
      <b/>
      <i/>
      <sz val="11"/>
      <color rgb="FF000000"/>
      <name val="Arial"/>
      <family val="2"/>
    </font>
    <font>
      <b/>
      <sz val="11"/>
      <color theme="1"/>
      <name val="Arial"/>
      <family val="2"/>
    </font>
    <font>
      <b/>
      <sz val="12"/>
      <color theme="1"/>
      <name val="Arial"/>
      <family val="2"/>
    </font>
  </fonts>
  <fills count="9">
    <fill>
      <patternFill patternType="none"/>
    </fill>
    <fill>
      <patternFill patternType="gray125"/>
    </fill>
    <fill>
      <patternFill patternType="solid">
        <fgColor theme="0"/>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s>
  <borders count="44">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s>
  <cellStyleXfs count="5">
    <xf numFmtId="0" fontId="0" fillId="0" borderId="0"/>
    <xf numFmtId="43" fontId="8" fillId="0" borderId="0" applyFont="0" applyFill="0" applyBorder="0" applyAlignment="0" applyProtection="0"/>
    <xf numFmtId="44" fontId="8" fillId="0" borderId="0" applyFont="0" applyFill="0" applyBorder="0" applyAlignment="0" applyProtection="0"/>
    <xf numFmtId="0" fontId="9" fillId="0" borderId="0" applyNumberFormat="0" applyFill="0" applyBorder="0" applyAlignment="0" applyProtection="0">
      <alignment vertical="top"/>
      <protection locked="0"/>
    </xf>
    <xf numFmtId="9" fontId="8" fillId="0" borderId="0" applyFont="0" applyFill="0" applyBorder="0" applyAlignment="0" applyProtection="0"/>
  </cellStyleXfs>
  <cellXfs count="209">
    <xf numFmtId="0" fontId="0" fillId="0" borderId="0" xfId="0"/>
    <xf numFmtId="0" fontId="10" fillId="2" borderId="0" xfId="0" applyFont="1" applyFill="1"/>
    <xf numFmtId="0" fontId="11" fillId="2" borderId="0" xfId="0" applyFont="1" applyFill="1" applyBorder="1" applyAlignment="1"/>
    <xf numFmtId="0" fontId="11"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applyAlignment="1">
      <alignment horizontal="right"/>
    </xf>
    <xf numFmtId="0" fontId="11" fillId="2" borderId="0" xfId="0" applyFont="1" applyFill="1" applyBorder="1" applyAlignment="1">
      <alignment horizontal="left"/>
    </xf>
    <xf numFmtId="0" fontId="10" fillId="2" borderId="0" xfId="0" applyFont="1" applyFill="1" applyBorder="1"/>
    <xf numFmtId="0" fontId="10" fillId="2" borderId="0" xfId="0" applyFont="1" applyFill="1" applyAlignment="1">
      <alignment horizontal="center"/>
    </xf>
    <xf numFmtId="0" fontId="10" fillId="2" borderId="0" xfId="0" applyFont="1" applyFill="1" applyBorder="1" applyAlignment="1">
      <alignment horizontal="center"/>
    </xf>
    <xf numFmtId="0" fontId="11" fillId="2" borderId="0" xfId="0" applyFont="1" applyFill="1" applyAlignment="1">
      <alignment horizontal="right"/>
    </xf>
    <xf numFmtId="0" fontId="11" fillId="2" borderId="0" xfId="0" applyFont="1" applyFill="1"/>
    <xf numFmtId="0" fontId="10" fillId="2" borderId="0" xfId="0" applyFont="1" applyFill="1" applyAlignment="1">
      <alignment wrapText="1"/>
    </xf>
    <xf numFmtId="0" fontId="12" fillId="2" borderId="0" xfId="0" applyFont="1" applyFill="1" applyBorder="1"/>
    <xf numFmtId="0" fontId="11" fillId="2" borderId="4" xfId="0" applyFont="1" applyFill="1" applyBorder="1" applyAlignment="1">
      <alignment horizontal="center" wrapText="1"/>
    </xf>
    <xf numFmtId="0" fontId="10" fillId="2" borderId="5" xfId="0" applyFont="1" applyFill="1" applyBorder="1"/>
    <xf numFmtId="0" fontId="11" fillId="2" borderId="6" xfId="0" applyFont="1" applyFill="1" applyBorder="1" applyAlignment="1">
      <alignment horizontal="right"/>
    </xf>
    <xf numFmtId="0" fontId="11" fillId="2" borderId="0" xfId="0" applyFont="1" applyFill="1" applyBorder="1"/>
    <xf numFmtId="165" fontId="11" fillId="2" borderId="0" xfId="0" applyNumberFormat="1" applyFont="1" applyFill="1" applyBorder="1" applyAlignment="1">
      <alignment horizontal="center"/>
    </xf>
    <xf numFmtId="165" fontId="11" fillId="2" borderId="0" xfId="1" applyNumberFormat="1" applyFont="1" applyFill="1" applyBorder="1" applyAlignment="1">
      <alignment horizontal="center"/>
    </xf>
    <xf numFmtId="0" fontId="10" fillId="2" borderId="0" xfId="0" applyFont="1" applyFill="1" applyAlignment="1"/>
    <xf numFmtId="0" fontId="13" fillId="2" borderId="0" xfId="0" applyFont="1" applyFill="1" applyAlignment="1">
      <alignment horizontal="center" vertical="center"/>
    </xf>
    <xf numFmtId="0" fontId="10" fillId="2" borderId="7" xfId="0" applyFont="1" applyFill="1" applyBorder="1"/>
    <xf numFmtId="0" fontId="14" fillId="2" borderId="0" xfId="0" applyFont="1" applyFill="1" applyBorder="1" applyAlignment="1">
      <alignment horizontal="center" vertical="center" wrapText="1"/>
    </xf>
    <xf numFmtId="0" fontId="10" fillId="2" borderId="0" xfId="0" applyFont="1" applyFill="1" applyBorder="1" applyAlignment="1"/>
    <xf numFmtId="0" fontId="15" fillId="2" borderId="0" xfId="0" applyFont="1" applyFill="1"/>
    <xf numFmtId="0" fontId="15" fillId="0" borderId="0" xfId="0" applyFont="1" applyAlignment="1">
      <alignment wrapText="1"/>
    </xf>
    <xf numFmtId="0" fontId="13" fillId="2"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 fillId="2" borderId="12" xfId="0" applyFont="1" applyFill="1" applyBorder="1" applyAlignment="1" applyProtection="1">
      <alignment horizontal="right"/>
    </xf>
    <xf numFmtId="0" fontId="10" fillId="2" borderId="12" xfId="0" applyFont="1" applyFill="1" applyBorder="1" applyAlignment="1">
      <alignment horizontal="right"/>
    </xf>
    <xf numFmtId="0" fontId="11" fillId="2" borderId="13" xfId="0" applyFont="1" applyFill="1" applyBorder="1"/>
    <xf numFmtId="0" fontId="3" fillId="2" borderId="0" xfId="0" applyFont="1" applyFill="1" applyAlignment="1">
      <alignment horizontal="right"/>
    </xf>
    <xf numFmtId="166" fontId="10" fillId="2" borderId="0" xfId="2" applyNumberFormat="1" applyFont="1" applyFill="1" applyBorder="1" applyAlignment="1">
      <alignment horizontal="right"/>
    </xf>
    <xf numFmtId="167" fontId="10" fillId="2" borderId="0" xfId="4" applyNumberFormat="1" applyFont="1" applyFill="1" applyBorder="1" applyAlignment="1">
      <alignment horizontal="right"/>
    </xf>
    <xf numFmtId="166" fontId="10" fillId="2" borderId="0" xfId="0" applyNumberFormat="1" applyFont="1" applyFill="1" applyBorder="1"/>
    <xf numFmtId="0" fontId="10" fillId="2" borderId="0" xfId="0" applyFont="1" applyFill="1" applyBorder="1" applyAlignment="1">
      <alignment horizontal="left"/>
    </xf>
    <xf numFmtId="0" fontId="17" fillId="2" borderId="28" xfId="0" applyFont="1" applyFill="1" applyBorder="1" applyAlignment="1">
      <alignment horizontal="right"/>
    </xf>
    <xf numFmtId="0" fontId="17" fillId="2" borderId="29" xfId="0" applyFont="1" applyFill="1" applyBorder="1" applyAlignment="1">
      <alignment horizontal="right"/>
    </xf>
    <xf numFmtId="0" fontId="17" fillId="2" borderId="0" xfId="0" applyFont="1" applyFill="1" applyAlignment="1">
      <alignment horizontal="right"/>
    </xf>
    <xf numFmtId="0" fontId="18" fillId="2" borderId="0" xfId="0" applyFont="1" applyFill="1"/>
    <xf numFmtId="0" fontId="18" fillId="2" borderId="0" xfId="0" applyFont="1" applyFill="1" applyBorder="1" applyAlignment="1"/>
    <xf numFmtId="0" fontId="17" fillId="2" borderId="0" xfId="0" applyFont="1" applyFill="1" applyBorder="1"/>
    <xf numFmtId="0" fontId="17" fillId="2" borderId="0" xfId="0" applyFont="1" applyFill="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 fillId="2" borderId="0" xfId="0" applyFont="1" applyFill="1" applyBorder="1" applyAlignment="1">
      <alignment horizontal="right"/>
    </xf>
    <xf numFmtId="0" fontId="7" fillId="2" borderId="0" xfId="0" applyNumberFormat="1"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xf>
    <xf numFmtId="0" fontId="3" fillId="2" borderId="0" xfId="0" applyFont="1" applyFill="1" applyAlignment="1">
      <alignment horizontal="center"/>
    </xf>
    <xf numFmtId="0" fontId="1" fillId="2" borderId="0" xfId="0" applyFont="1" applyFill="1" applyBorder="1" applyAlignment="1">
      <alignment horizontal="right"/>
    </xf>
    <xf numFmtId="0" fontId="10" fillId="2" borderId="32" xfId="0" applyFont="1" applyFill="1" applyBorder="1"/>
    <xf numFmtId="0" fontId="10" fillId="2" borderId="37" xfId="0" applyFont="1" applyFill="1" applyBorder="1"/>
    <xf numFmtId="0" fontId="10" fillId="2" borderId="31" xfId="0" applyFont="1" applyFill="1" applyBorder="1"/>
    <xf numFmtId="0" fontId="1" fillId="2" borderId="31" xfId="0" applyFont="1" applyFill="1" applyBorder="1" applyAlignment="1">
      <alignment horizontal="right"/>
    </xf>
    <xf numFmtId="0" fontId="20" fillId="2" borderId="0" xfId="0" applyFont="1" applyFill="1" applyBorder="1" applyAlignment="1"/>
    <xf numFmtId="0" fontId="10" fillId="2" borderId="0" xfId="0" applyFont="1" applyFill="1" applyAlignment="1">
      <alignment horizontal="left"/>
    </xf>
    <xf numFmtId="0" fontId="11" fillId="2" borderId="38" xfId="0" applyFont="1" applyFill="1" applyBorder="1" applyAlignment="1">
      <alignment horizontal="center" wrapText="1"/>
    </xf>
    <xf numFmtId="164" fontId="10" fillId="4" borderId="26" xfId="0" applyNumberFormat="1" applyFont="1" applyFill="1" applyBorder="1" applyAlignment="1">
      <alignment horizontal="center"/>
    </xf>
    <xf numFmtId="0" fontId="10" fillId="2" borderId="32" xfId="0" applyFont="1" applyFill="1" applyBorder="1" applyAlignment="1"/>
    <xf numFmtId="164" fontId="10" fillId="5" borderId="26" xfId="0" applyNumberFormat="1" applyFont="1" applyFill="1" applyBorder="1" applyAlignment="1">
      <alignment horizontal="center"/>
    </xf>
    <xf numFmtId="164" fontId="10" fillId="5" borderId="27" xfId="0" applyNumberFormat="1" applyFont="1" applyFill="1" applyBorder="1" applyAlignment="1">
      <alignment horizontal="center"/>
    </xf>
    <xf numFmtId="0" fontId="22" fillId="2" borderId="0" xfId="0" applyFont="1" applyFill="1" applyBorder="1" applyAlignment="1">
      <alignment vertical="top" wrapText="1"/>
    </xf>
    <xf numFmtId="0" fontId="22" fillId="2" borderId="31" xfId="0" applyFont="1" applyFill="1" applyBorder="1" applyAlignment="1">
      <alignment vertical="top" wrapText="1"/>
    </xf>
    <xf numFmtId="0" fontId="18" fillId="2" borderId="0" xfId="0" applyFont="1" applyFill="1" applyBorder="1"/>
    <xf numFmtId="0" fontId="22" fillId="2" borderId="37" xfId="0" applyFont="1" applyFill="1" applyBorder="1" applyAlignment="1">
      <alignment vertical="top"/>
    </xf>
    <xf numFmtId="0" fontId="23" fillId="0" borderId="39" xfId="0" applyFont="1" applyBorder="1" applyAlignment="1">
      <alignment vertical="center" wrapText="1"/>
    </xf>
    <xf numFmtId="0" fontId="23" fillId="0" borderId="40" xfId="0" applyFont="1" applyBorder="1" applyAlignment="1">
      <alignment vertical="center" wrapText="1"/>
    </xf>
    <xf numFmtId="0" fontId="17" fillId="0" borderId="40" xfId="0" applyFont="1" applyBorder="1" applyAlignment="1">
      <alignment vertical="center" wrapText="1"/>
    </xf>
    <xf numFmtId="0" fontId="17" fillId="0" borderId="41" xfId="0" applyFont="1" applyBorder="1" applyAlignment="1">
      <alignment vertical="center" wrapText="1"/>
    </xf>
    <xf numFmtId="0" fontId="25" fillId="6" borderId="42" xfId="0" applyFont="1" applyFill="1" applyBorder="1" applyAlignment="1">
      <alignment vertical="center"/>
    </xf>
    <xf numFmtId="0" fontId="25" fillId="6" borderId="43" xfId="0" applyFont="1" applyFill="1" applyBorder="1" applyAlignment="1">
      <alignment vertical="center"/>
    </xf>
    <xf numFmtId="0" fontId="27" fillId="6" borderId="40" xfId="0" applyFont="1" applyFill="1" applyBorder="1" applyAlignment="1">
      <alignment vertical="center" wrapText="1"/>
    </xf>
    <xf numFmtId="0" fontId="27" fillId="6" borderId="43" xfId="0" applyFont="1" applyFill="1" applyBorder="1" applyAlignment="1">
      <alignment vertical="center" wrapText="1"/>
    </xf>
    <xf numFmtId="0" fontId="25" fillId="6" borderId="40" xfId="0" applyFont="1" applyFill="1" applyBorder="1" applyAlignment="1">
      <alignment vertical="center" wrapText="1"/>
    </xf>
    <xf numFmtId="0" fontId="27" fillId="6" borderId="43" xfId="0" applyFont="1" applyFill="1" applyBorder="1" applyAlignment="1">
      <alignment vertical="center"/>
    </xf>
    <xf numFmtId="0" fontId="25" fillId="6" borderId="43" xfId="0" applyFont="1" applyFill="1" applyBorder="1" applyAlignment="1">
      <alignment vertical="center" wrapText="1"/>
    </xf>
    <xf numFmtId="0" fontId="23" fillId="6" borderId="43" xfId="0" applyFont="1" applyFill="1" applyBorder="1" applyAlignment="1">
      <alignment vertical="center"/>
    </xf>
    <xf numFmtId="0" fontId="27" fillId="6" borderId="40" xfId="0" applyFont="1" applyFill="1" applyBorder="1" applyAlignment="1">
      <alignment vertical="center"/>
    </xf>
    <xf numFmtId="0" fontId="29" fillId="6" borderId="40" xfId="0" applyFont="1" applyFill="1" applyBorder="1" applyAlignment="1">
      <alignment horizontal="left" vertical="center" wrapText="1" indent="5"/>
    </xf>
    <xf numFmtId="0" fontId="0" fillId="6" borderId="40" xfId="0" applyFill="1" applyBorder="1" applyAlignment="1">
      <alignment vertical="center" wrapText="1"/>
    </xf>
    <xf numFmtId="0" fontId="28" fillId="6" borderId="43" xfId="0" applyFont="1" applyFill="1" applyBorder="1" applyAlignment="1">
      <alignment vertical="center" wrapText="1"/>
    </xf>
    <xf numFmtId="0" fontId="27" fillId="6" borderId="41" xfId="0" applyFont="1" applyFill="1" applyBorder="1" applyAlignment="1">
      <alignment vertical="center"/>
    </xf>
    <xf numFmtId="0" fontId="10" fillId="2" borderId="0" xfId="0" applyFont="1" applyFill="1" applyBorder="1" applyAlignment="1"/>
    <xf numFmtId="0" fontId="11" fillId="2" borderId="0" xfId="0" applyFont="1" applyFill="1" applyBorder="1" applyAlignment="1">
      <alignment horizontal="center"/>
    </xf>
    <xf numFmtId="0" fontId="10" fillId="2" borderId="0" xfId="0" applyNumberFormat="1" applyFont="1" applyFill="1"/>
    <xf numFmtId="0" fontId="0" fillId="0" borderId="0" xfId="0" applyNumberFormat="1"/>
    <xf numFmtId="168" fontId="32" fillId="6" borderId="43" xfId="0" applyNumberFormat="1" applyFont="1" applyFill="1" applyBorder="1" applyAlignment="1">
      <alignment horizontal="left" vertical="center"/>
    </xf>
    <xf numFmtId="0" fontId="11" fillId="2" borderId="27" xfId="0" applyFont="1" applyFill="1" applyBorder="1" applyAlignment="1">
      <alignment horizontal="center" wrapText="1"/>
    </xf>
    <xf numFmtId="0" fontId="3" fillId="2" borderId="0" xfId="0" applyFont="1" applyFill="1" applyBorder="1" applyAlignment="1"/>
    <xf numFmtId="0" fontId="1" fillId="7" borderId="10" xfId="0" applyFont="1" applyFill="1" applyBorder="1" applyAlignment="1">
      <alignment horizontal="center"/>
    </xf>
    <xf numFmtId="0" fontId="1" fillId="7" borderId="1" xfId="0" applyFont="1" applyFill="1" applyBorder="1" applyAlignment="1">
      <alignment horizontal="center"/>
    </xf>
    <xf numFmtId="0" fontId="1" fillId="7" borderId="1" xfId="0" applyFont="1" applyFill="1" applyBorder="1" applyAlignment="1">
      <alignment horizontal="right"/>
    </xf>
    <xf numFmtId="0" fontId="1" fillId="7" borderId="6" xfId="0" applyFont="1" applyFill="1" applyBorder="1" applyAlignment="1">
      <alignment horizontal="center"/>
    </xf>
    <xf numFmtId="0" fontId="1" fillId="7" borderId="23" xfId="0" applyFont="1" applyFill="1" applyBorder="1" applyAlignment="1">
      <alignment horizontal="center"/>
    </xf>
    <xf numFmtId="0" fontId="1" fillId="7" borderId="23" xfId="0" applyFont="1" applyFill="1" applyBorder="1" applyAlignment="1">
      <alignment horizontal="right"/>
    </xf>
    <xf numFmtId="165" fontId="10" fillId="7" borderId="1" xfId="1" applyNumberFormat="1" applyFont="1" applyFill="1" applyBorder="1" applyAlignment="1"/>
    <xf numFmtId="165" fontId="10" fillId="7" borderId="23" xfId="1" applyNumberFormat="1" applyFont="1" applyFill="1" applyBorder="1" applyAlignment="1"/>
    <xf numFmtId="0" fontId="1" fillId="7" borderId="11" xfId="0" applyFont="1" applyFill="1" applyBorder="1" applyAlignment="1">
      <alignment horizontal="center"/>
    </xf>
    <xf numFmtId="0" fontId="1" fillId="7" borderId="2" xfId="0" applyFont="1" applyFill="1" applyBorder="1" applyAlignment="1">
      <alignment horizontal="center"/>
    </xf>
    <xf numFmtId="0" fontId="1" fillId="7" borderId="2" xfId="0" applyFont="1" applyFill="1" applyBorder="1" applyAlignment="1">
      <alignment horizontal="right"/>
    </xf>
    <xf numFmtId="165" fontId="10" fillId="7" borderId="2" xfId="1" applyNumberFormat="1" applyFont="1" applyFill="1" applyBorder="1" applyAlignment="1"/>
    <xf numFmtId="0" fontId="14" fillId="2" borderId="0" xfId="0" applyFont="1" applyFill="1" applyAlignment="1">
      <alignment horizontal="center" wrapText="1"/>
    </xf>
    <xf numFmtId="0" fontId="3" fillId="7" borderId="0" xfId="0" applyFont="1" applyFill="1" applyBorder="1" applyAlignment="1">
      <alignment horizontal="center"/>
    </xf>
    <xf numFmtId="0" fontId="3" fillId="7" borderId="0" xfId="0" applyFont="1" applyFill="1" applyBorder="1" applyAlignment="1">
      <alignment horizontal="right"/>
    </xf>
    <xf numFmtId="165" fontId="3" fillId="7" borderId="0" xfId="1" applyNumberFormat="1" applyFont="1" applyFill="1" applyBorder="1" applyAlignment="1">
      <alignment horizontal="right"/>
    </xf>
    <xf numFmtId="169" fontId="3" fillId="7" borderId="0" xfId="0" applyNumberFormat="1" applyFont="1" applyFill="1" applyBorder="1" applyAlignment="1">
      <alignment horizontal="right"/>
    </xf>
    <xf numFmtId="0" fontId="14" fillId="2" borderId="0" xfId="0" applyFont="1" applyFill="1" applyAlignment="1">
      <alignment horizontal="center"/>
    </xf>
    <xf numFmtId="0" fontId="10" fillId="7" borderId="0" xfId="0" applyFont="1" applyFill="1"/>
    <xf numFmtId="169" fontId="10" fillId="7" borderId="12" xfId="0" applyNumberFormat="1" applyFont="1" applyFill="1" applyBorder="1" applyAlignment="1"/>
    <xf numFmtId="167" fontId="10" fillId="7" borderId="13" xfId="4" applyNumberFormat="1" applyFont="1" applyFill="1" applyBorder="1" applyAlignment="1">
      <alignment horizontal="center"/>
    </xf>
    <xf numFmtId="9" fontId="1" fillId="7" borderId="36" xfId="0" applyNumberFormat="1" applyFont="1" applyFill="1" applyBorder="1" applyAlignment="1">
      <alignment horizontal="center"/>
    </xf>
    <xf numFmtId="165" fontId="11" fillId="7" borderId="11" xfId="0" applyNumberFormat="1" applyFont="1" applyFill="1" applyBorder="1" applyAlignment="1">
      <alignment horizontal="center"/>
    </xf>
    <xf numFmtId="169" fontId="11" fillId="7" borderId="2" xfId="1" applyNumberFormat="1" applyFont="1" applyFill="1" applyBorder="1" applyAlignment="1">
      <alignment horizontal="right"/>
    </xf>
    <xf numFmtId="0" fontId="11" fillId="2" borderId="0" xfId="0" applyFont="1" applyFill="1" applyBorder="1" applyAlignment="1">
      <alignment horizontal="left" wrapText="1"/>
    </xf>
    <xf numFmtId="165" fontId="10" fillId="8" borderId="6" xfId="1" applyNumberFormat="1" applyFont="1" applyFill="1" applyBorder="1" applyAlignment="1">
      <alignment horizontal="center"/>
    </xf>
    <xf numFmtId="169" fontId="10" fillId="8" borderId="23" xfId="1" applyNumberFormat="1" applyFont="1" applyFill="1" applyBorder="1" applyAlignment="1">
      <alignment horizontal="right"/>
    </xf>
    <xf numFmtId="165" fontId="10" fillId="8" borderId="6" xfId="0" applyNumberFormat="1" applyFont="1" applyFill="1" applyBorder="1" applyAlignment="1">
      <alignment horizontal="center"/>
    </xf>
    <xf numFmtId="0" fontId="11" fillId="8" borderId="12" xfId="0" applyFont="1" applyFill="1" applyBorder="1"/>
    <xf numFmtId="0" fontId="11" fillId="8" borderId="12" xfId="0" applyFont="1" applyFill="1" applyBorder="1" applyAlignment="1">
      <alignment vertical="center" wrapText="1"/>
    </xf>
    <xf numFmtId="169" fontId="10" fillId="8" borderId="12" xfId="0" applyNumberFormat="1" applyFont="1" applyFill="1" applyBorder="1" applyAlignment="1"/>
    <xf numFmtId="165" fontId="10" fillId="8" borderId="1" xfId="1" applyNumberFormat="1" applyFont="1" applyFill="1" applyBorder="1"/>
    <xf numFmtId="165" fontId="10" fillId="8" borderId="2" xfId="1" applyNumberFormat="1" applyFont="1" applyFill="1" applyBorder="1"/>
    <xf numFmtId="165" fontId="10" fillId="8" borderId="3" xfId="1" applyNumberFormat="1" applyFont="1" applyFill="1" applyBorder="1"/>
    <xf numFmtId="0" fontId="1" fillId="8" borderId="33" xfId="0" applyFont="1" applyFill="1" applyBorder="1" applyAlignment="1">
      <alignment horizontal="right"/>
    </xf>
    <xf numFmtId="0" fontId="1" fillId="8" borderId="20" xfId="0" applyFont="1" applyFill="1" applyBorder="1" applyAlignment="1">
      <alignment horizontal="right"/>
    </xf>
    <xf numFmtId="165" fontId="10" fillId="8" borderId="21" xfId="1" applyNumberFormat="1" applyFont="1" applyFill="1" applyBorder="1"/>
    <xf numFmtId="0" fontId="1" fillId="8" borderId="12" xfId="0" applyFont="1" applyFill="1" applyBorder="1" applyAlignment="1">
      <alignment horizontal="right"/>
    </xf>
    <xf numFmtId="0" fontId="1" fillId="8" borderId="14" xfId="0" applyFont="1" applyFill="1" applyBorder="1" applyAlignment="1">
      <alignment horizontal="right"/>
    </xf>
    <xf numFmtId="165" fontId="10" fillId="8" borderId="22" xfId="1" applyNumberFormat="1" applyFont="1" applyFill="1" applyBorder="1"/>
    <xf numFmtId="165" fontId="10" fillId="8" borderId="23" xfId="1" applyNumberFormat="1" applyFont="1" applyFill="1" applyBorder="1"/>
    <xf numFmtId="0" fontId="1" fillId="8" borderId="12" xfId="0" applyFont="1" applyFill="1" applyBorder="1" applyAlignment="1">
      <alignment horizontal="right" wrapText="1"/>
    </xf>
    <xf numFmtId="0" fontId="1" fillId="8" borderId="14" xfId="0" applyFont="1" applyFill="1" applyBorder="1" applyAlignment="1">
      <alignment horizontal="right" wrapText="1"/>
    </xf>
    <xf numFmtId="0" fontId="3" fillId="8" borderId="12" xfId="0" applyFont="1" applyFill="1" applyBorder="1" applyAlignment="1">
      <alignment horizontal="right"/>
    </xf>
    <xf numFmtId="0" fontId="3" fillId="8" borderId="14" xfId="0" applyFont="1" applyFill="1" applyBorder="1" applyAlignment="1">
      <alignment horizontal="right"/>
    </xf>
    <xf numFmtId="0" fontId="11" fillId="8" borderId="14" xfId="0" applyFont="1" applyFill="1" applyBorder="1"/>
    <xf numFmtId="0" fontId="11" fillId="8" borderId="16" xfId="0" applyFont="1" applyFill="1" applyBorder="1"/>
    <xf numFmtId="0" fontId="11" fillId="8" borderId="15" xfId="0" applyFont="1" applyFill="1" applyBorder="1"/>
    <xf numFmtId="165" fontId="10" fillId="8" borderId="25" xfId="1" applyNumberFormat="1" applyFont="1" applyFill="1" applyBorder="1"/>
    <xf numFmtId="165" fontId="10" fillId="8" borderId="17" xfId="1" applyNumberFormat="1" applyFont="1" applyFill="1" applyBorder="1"/>
    <xf numFmtId="165" fontId="10" fillId="8" borderId="24" xfId="1" applyNumberFormat="1" applyFont="1" applyFill="1" applyBorder="1"/>
    <xf numFmtId="165" fontId="10" fillId="8" borderId="18" xfId="1" applyNumberFormat="1" applyFont="1" applyFill="1" applyBorder="1"/>
    <xf numFmtId="169" fontId="10" fillId="8" borderId="1" xfId="1" applyNumberFormat="1" applyFont="1" applyFill="1" applyBorder="1"/>
    <xf numFmtId="169" fontId="10" fillId="8" borderId="23" xfId="1" applyNumberFormat="1" applyFont="1" applyFill="1" applyBorder="1"/>
    <xf numFmtId="169" fontId="10" fillId="8" borderId="2" xfId="1" applyNumberFormat="1" applyFont="1" applyFill="1" applyBorder="1"/>
    <xf numFmtId="169" fontId="10" fillId="8" borderId="11" xfId="1" applyNumberFormat="1" applyFont="1" applyFill="1" applyBorder="1"/>
    <xf numFmtId="0" fontId="25" fillId="8" borderId="43" xfId="0" applyFont="1" applyFill="1" applyBorder="1" applyAlignment="1">
      <alignment vertical="center"/>
    </xf>
    <xf numFmtId="0" fontId="25" fillId="7" borderId="43" xfId="0" applyFont="1" applyFill="1" applyBorder="1" applyAlignment="1">
      <alignment vertical="center"/>
    </xf>
    <xf numFmtId="0" fontId="34" fillId="2" borderId="0" xfId="0" applyFont="1" applyFill="1" applyBorder="1" applyAlignment="1">
      <alignment horizontal="left"/>
    </xf>
    <xf numFmtId="0" fontId="3" fillId="2" borderId="0" xfId="0" applyFont="1" applyFill="1" applyAlignment="1">
      <alignment horizontal="center" wrapText="1"/>
    </xf>
    <xf numFmtId="0" fontId="10" fillId="7" borderId="0" xfId="0" applyFont="1" applyFill="1" applyAlignment="1">
      <alignment horizontal="center"/>
    </xf>
    <xf numFmtId="1" fontId="1" fillId="7" borderId="23" xfId="0" applyNumberFormat="1" applyFont="1" applyFill="1" applyBorder="1" applyAlignment="1">
      <alignment horizontal="right"/>
    </xf>
    <xf numFmtId="1" fontId="1" fillId="7" borderId="1" xfId="0" applyNumberFormat="1" applyFont="1" applyFill="1" applyBorder="1" applyAlignment="1">
      <alignment horizontal="right"/>
    </xf>
    <xf numFmtId="1" fontId="1" fillId="7" borderId="2" xfId="0" applyNumberFormat="1" applyFont="1" applyFill="1" applyBorder="1" applyAlignment="1">
      <alignment horizontal="right"/>
    </xf>
    <xf numFmtId="0" fontId="10" fillId="8" borderId="1" xfId="1" applyNumberFormat="1" applyFont="1" applyFill="1" applyBorder="1"/>
    <xf numFmtId="0" fontId="10" fillId="8" borderId="23" xfId="1" applyNumberFormat="1" applyFont="1" applyFill="1" applyBorder="1"/>
    <xf numFmtId="4" fontId="1" fillId="7" borderId="23" xfId="0" applyNumberFormat="1" applyFont="1" applyFill="1" applyBorder="1" applyAlignment="1">
      <alignment horizontal="right"/>
    </xf>
    <xf numFmtId="3" fontId="1" fillId="7" borderId="1" xfId="0" applyNumberFormat="1" applyFont="1" applyFill="1" applyBorder="1" applyAlignment="1">
      <alignment horizontal="right"/>
    </xf>
    <xf numFmtId="3" fontId="1" fillId="7" borderId="23" xfId="0" applyNumberFormat="1" applyFont="1" applyFill="1" applyBorder="1" applyAlignment="1">
      <alignment horizontal="right"/>
    </xf>
    <xf numFmtId="170" fontId="10" fillId="8" borderId="23" xfId="1" applyNumberFormat="1" applyFont="1" applyFill="1" applyBorder="1"/>
    <xf numFmtId="3" fontId="10" fillId="8" borderId="12" xfId="0" applyNumberFormat="1" applyFont="1" applyFill="1" applyBorder="1" applyAlignment="1">
      <alignment horizontal="center"/>
    </xf>
    <xf numFmtId="3" fontId="10" fillId="7" borderId="36" xfId="0" applyNumberFormat="1" applyFont="1" applyFill="1" applyBorder="1" applyAlignment="1">
      <alignment horizontal="center"/>
    </xf>
    <xf numFmtId="37" fontId="11" fillId="3" borderId="2" xfId="1" applyNumberFormat="1" applyFont="1" applyFill="1" applyBorder="1" applyAlignment="1">
      <alignment horizontal="right"/>
    </xf>
    <xf numFmtId="37" fontId="11" fillId="3" borderId="18" xfId="1" applyNumberFormat="1" applyFont="1" applyFill="1" applyBorder="1" applyAlignment="1">
      <alignment horizontal="right"/>
    </xf>
    <xf numFmtId="0" fontId="11" fillId="7" borderId="19" xfId="0" applyFont="1" applyFill="1" applyBorder="1" applyAlignment="1">
      <alignment horizontal="center"/>
    </xf>
    <xf numFmtId="0" fontId="10" fillId="2" borderId="30" xfId="0" applyFont="1" applyFill="1" applyBorder="1" applyAlignment="1"/>
    <xf numFmtId="0" fontId="10" fillId="2" borderId="0" xfId="0" applyFont="1" applyFill="1" applyBorder="1" applyAlignment="1"/>
    <xf numFmtId="0" fontId="11" fillId="2" borderId="0" xfId="0" applyFont="1" applyFill="1" applyBorder="1" applyAlignment="1">
      <alignment horizontal="center"/>
    </xf>
    <xf numFmtId="0" fontId="11" fillId="2" borderId="31" xfId="0" applyFont="1" applyFill="1" applyBorder="1" applyAlignment="1">
      <alignment horizontal="center"/>
    </xf>
    <xf numFmtId="0" fontId="11" fillId="2" borderId="30" xfId="0" applyFont="1" applyFill="1" applyBorder="1" applyAlignment="1"/>
    <xf numFmtId="0" fontId="10" fillId="2" borderId="0" xfId="0" applyFont="1" applyFill="1" applyBorder="1" applyAlignment="1">
      <alignment horizontal="right" wrapText="1"/>
    </xf>
    <xf numFmtId="0" fontId="10" fillId="2" borderId="36" xfId="0" applyFont="1" applyFill="1" applyBorder="1" applyAlignment="1">
      <alignment horizontal="right" wrapText="1"/>
    </xf>
    <xf numFmtId="0" fontId="11" fillId="8" borderId="20" xfId="0" applyFont="1" applyFill="1" applyBorder="1" applyAlignment="1">
      <alignment horizontal="center"/>
    </xf>
    <xf numFmtId="168" fontId="10" fillId="8" borderId="14" xfId="0" applyNumberFormat="1" applyFont="1" applyFill="1" applyBorder="1" applyAlignment="1">
      <alignment horizontal="center"/>
    </xf>
    <xf numFmtId="0" fontId="10" fillId="8" borderId="14" xfId="0" applyFont="1" applyFill="1" applyBorder="1" applyAlignment="1">
      <alignment horizontal="center"/>
    </xf>
    <xf numFmtId="0" fontId="9" fillId="8" borderId="15" xfId="3" applyFill="1" applyBorder="1" applyAlignment="1" applyProtection="1">
      <alignment horizontal="center"/>
    </xf>
    <xf numFmtId="0" fontId="10" fillId="8" borderId="15" xfId="0" applyFont="1" applyFill="1" applyBorder="1" applyAlignment="1">
      <alignment horizontal="center"/>
    </xf>
    <xf numFmtId="0" fontId="11" fillId="0" borderId="34" xfId="0" applyFont="1" applyBorder="1" applyAlignment="1">
      <alignment horizontal="center" wrapText="1"/>
    </xf>
    <xf numFmtId="0" fontId="11" fillId="0" borderId="7" xfId="0" applyFont="1" applyBorder="1" applyAlignment="1">
      <alignment horizontal="center" wrapText="1"/>
    </xf>
    <xf numFmtId="0" fontId="11" fillId="0" borderId="35" xfId="0" applyFont="1" applyBorder="1" applyAlignment="1">
      <alignment horizontal="center" wrapText="1"/>
    </xf>
    <xf numFmtId="0" fontId="11" fillId="2" borderId="34" xfId="0" applyFont="1" applyFill="1" applyBorder="1" applyAlignment="1">
      <alignment horizontal="center"/>
    </xf>
    <xf numFmtId="0" fontId="11" fillId="2" borderId="7" xfId="0" applyFont="1" applyFill="1" applyBorder="1" applyAlignment="1">
      <alignment horizontal="center"/>
    </xf>
    <xf numFmtId="0" fontId="11" fillId="2" borderId="35" xfId="0" applyFont="1" applyFill="1" applyBorder="1" applyAlignment="1">
      <alignment horizontal="center"/>
    </xf>
    <xf numFmtId="0" fontId="1" fillId="2" borderId="0" xfId="0" applyFont="1" applyFill="1" applyBorder="1" applyAlignment="1">
      <alignment horizontal="right" wrapText="1"/>
    </xf>
    <xf numFmtId="0" fontId="11" fillId="7" borderId="10" xfId="0" applyFont="1" applyFill="1" applyBorder="1" applyAlignment="1">
      <alignment horizontal="center"/>
    </xf>
    <xf numFmtId="0" fontId="10" fillId="7" borderId="1" xfId="0" applyFont="1" applyFill="1" applyBorder="1" applyAlignment="1"/>
    <xf numFmtId="0" fontId="10" fillId="7" borderId="17" xfId="0" applyFont="1" applyFill="1" applyBorder="1" applyAlignment="1"/>
    <xf numFmtId="0" fontId="11" fillId="2" borderId="11" xfId="0" applyFont="1" applyFill="1" applyBorder="1" applyAlignment="1">
      <alignment horizontal="center"/>
    </xf>
    <xf numFmtId="0" fontId="10" fillId="2" borderId="2" xfId="0" applyFont="1" applyFill="1" applyBorder="1" applyAlignment="1">
      <alignment horizontal="center"/>
    </xf>
    <xf numFmtId="0" fontId="10" fillId="2" borderId="18" xfId="0" applyFont="1" applyFill="1" applyBorder="1" applyAlignment="1">
      <alignment horizontal="center"/>
    </xf>
    <xf numFmtId="0" fontId="2" fillId="2" borderId="0" xfId="0" applyFont="1" applyFill="1" applyAlignment="1">
      <alignment horizontal="left" vertical="center" wrapText="1"/>
    </xf>
    <xf numFmtId="0" fontId="16" fillId="2" borderId="0" xfId="0" applyFont="1" applyFill="1" applyAlignment="1">
      <alignment horizontal="left" vertical="center" wrapText="1"/>
    </xf>
    <xf numFmtId="0" fontId="0" fillId="2" borderId="0" xfId="0" applyFill="1" applyAlignment="1">
      <alignment wrapText="1"/>
    </xf>
    <xf numFmtId="0" fontId="3" fillId="2" borderId="31" xfId="0" applyFont="1" applyFill="1" applyBorder="1" applyAlignment="1">
      <alignment horizontal="left"/>
    </xf>
    <xf numFmtId="165" fontId="10" fillId="8" borderId="24" xfId="1" applyNumberFormat="1" applyFont="1" applyFill="1" applyBorder="1" applyAlignment="1">
      <alignment horizontal="center"/>
    </xf>
    <xf numFmtId="165" fontId="10" fillId="8" borderId="14" xfId="1" applyNumberFormat="1" applyFont="1" applyFill="1" applyBorder="1" applyAlignment="1">
      <alignment horizontal="center"/>
    </xf>
    <xf numFmtId="165" fontId="10" fillId="8" borderId="6" xfId="1" applyNumberFormat="1" applyFont="1" applyFill="1" applyBorder="1" applyAlignment="1">
      <alignment horizontal="center"/>
    </xf>
    <xf numFmtId="0" fontId="11" fillId="7" borderId="11" xfId="0" applyFont="1" applyFill="1" applyBorder="1" applyAlignment="1">
      <alignment horizontal="center"/>
    </xf>
    <xf numFmtId="0" fontId="10" fillId="7" borderId="2" xfId="0" applyFont="1" applyFill="1" applyBorder="1" applyAlignment="1">
      <alignment horizontal="center"/>
    </xf>
    <xf numFmtId="0" fontId="10" fillId="7" borderId="18" xfId="0" applyFont="1" applyFill="1" applyBorder="1" applyAlignment="1">
      <alignment horizontal="center"/>
    </xf>
    <xf numFmtId="165" fontId="10" fillId="8" borderId="18" xfId="1" applyNumberFormat="1" applyFont="1" applyFill="1" applyBorder="1" applyAlignment="1">
      <alignment horizontal="center"/>
    </xf>
    <xf numFmtId="165" fontId="10" fillId="8" borderId="15" xfId="1" applyNumberFormat="1" applyFont="1" applyFill="1" applyBorder="1" applyAlignment="1">
      <alignment horizontal="center"/>
    </xf>
    <xf numFmtId="165" fontId="10" fillId="8" borderId="11" xfId="1" applyNumberFormat="1" applyFont="1" applyFill="1" applyBorder="1" applyAlignment="1">
      <alignment horizontal="center"/>
    </xf>
    <xf numFmtId="0" fontId="14" fillId="2" borderId="31" xfId="0" applyFont="1" applyFill="1" applyBorder="1" applyAlignment="1">
      <alignment horizontal="center"/>
    </xf>
    <xf numFmtId="165" fontId="10" fillId="8" borderId="17" xfId="1" applyNumberFormat="1" applyFont="1" applyFill="1" applyBorder="1" applyAlignment="1">
      <alignment horizontal="center"/>
    </xf>
    <xf numFmtId="165" fontId="10" fillId="8" borderId="20" xfId="1" applyNumberFormat="1" applyFont="1" applyFill="1" applyBorder="1" applyAlignment="1">
      <alignment horizontal="center"/>
    </xf>
    <xf numFmtId="165" fontId="10" fillId="8" borderId="10" xfId="1" applyNumberFormat="1" applyFont="1" applyFill="1" applyBorder="1" applyAlignment="1">
      <alignment horizontal="center"/>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0</xdr:colOff>
      <xdr:row>33</xdr:row>
      <xdr:rowOff>1</xdr:rowOff>
    </xdr:from>
    <xdr:to>
      <xdr:col>8</xdr:col>
      <xdr:colOff>76200</xdr:colOff>
      <xdr:row>52</xdr:row>
      <xdr:rowOff>85726</xdr:rowOff>
    </xdr:to>
    <xdr:sp macro="" textlink="">
      <xdr:nvSpPr>
        <xdr:cNvPr id="3" name="TextBox 2"/>
        <xdr:cNvSpPr txBox="1"/>
      </xdr:nvSpPr>
      <xdr:spPr>
        <a:xfrm>
          <a:off x="209550" y="9725026"/>
          <a:ext cx="6791325" cy="31623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eaLnBrk="1" fontAlgn="auto" latinLnBrk="0" hangingPunct="1"/>
          <a:r>
            <a:rPr lang="en-US" sz="1100">
              <a:solidFill>
                <a:schemeClr val="dk1"/>
              </a:solidFill>
              <a:effectLst/>
              <a:latin typeface="+mn-lt"/>
              <a:ea typeface="+mn-ea"/>
              <a:cs typeface="+mn-cs"/>
            </a:rPr>
            <a:t>The EIA requires a utility to identify its achievable, cost-effective conservation potential using methodologies consistent with those in the Council’s Plan. For the</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Ten Year Potential for 2014-2023 and Biennial Target for 2014-2015,</a:t>
          </a:r>
          <a:r>
            <a:rPr lang="en-US" sz="1100" baseline="0">
              <a:solidFill>
                <a:schemeClr val="dk1"/>
              </a:solidFill>
              <a:effectLst/>
              <a:latin typeface="+mn-lt"/>
              <a:ea typeface="+mn-ea"/>
              <a:cs typeface="+mn-cs"/>
            </a:rPr>
            <a:t> Peninsula Light Company's (</a:t>
          </a:r>
          <a:r>
            <a:rPr lang="en-US" sz="1100">
              <a:solidFill>
                <a:schemeClr val="dk1"/>
              </a:solidFill>
              <a:effectLst/>
              <a:latin typeface="+mn-lt"/>
              <a:ea typeface="+mn-ea"/>
              <a:cs typeface="+mn-cs"/>
            </a:rPr>
            <a:t>PLC) determination of its potential is based on the assumptions and measures in the Council’s 6</a:t>
          </a:r>
          <a:r>
            <a:rPr lang="en-US" sz="1100" baseline="30000">
              <a:solidFill>
                <a:schemeClr val="dk1"/>
              </a:solidFill>
              <a:effectLst/>
              <a:latin typeface="+mn-lt"/>
              <a:ea typeface="+mn-ea"/>
              <a:cs typeface="+mn-cs"/>
            </a:rPr>
            <a:t>th</a:t>
          </a:r>
          <a:r>
            <a:rPr lang="en-US" sz="1100">
              <a:solidFill>
                <a:schemeClr val="dk1"/>
              </a:solidFill>
              <a:effectLst/>
              <a:latin typeface="+mn-lt"/>
              <a:ea typeface="+mn-ea"/>
              <a:cs typeface="+mn-cs"/>
            </a:rPr>
            <a:t> Power Plan. PLC has identified a 10-year potential of 3.271 aMW and a Biennial Target of 0.654 aMW. </a:t>
          </a:r>
          <a:r>
            <a:rPr lang="en-US" sz="1100" baseline="0">
              <a:solidFill>
                <a:schemeClr val="dk1"/>
              </a:solidFill>
              <a:effectLst/>
              <a:latin typeface="+mn-lt"/>
              <a:ea typeface="+mn-ea"/>
              <a:cs typeface="+mn-cs"/>
            </a:rPr>
            <a:t>PLC determined its 2 year target by taking 20% of it's 10-year conservation potential.</a:t>
          </a:r>
        </a:p>
        <a:p>
          <a:pPr eaLnBrk="1" fontAlgn="auto" latinLnBrk="0" hangingPunct="1"/>
          <a:r>
            <a:rPr lang="en-US" sz="1100" baseline="0">
              <a:solidFill>
                <a:schemeClr val="dk1"/>
              </a:solidFill>
              <a:effectLst/>
              <a:latin typeface="+mn-lt"/>
              <a:ea typeface="+mn-ea"/>
              <a:cs typeface="+mn-cs"/>
            </a:rPr>
            <a:t>   </a:t>
          </a:r>
          <a:endParaRPr lang="en-US">
            <a:effectLst/>
          </a:endParaRPr>
        </a:p>
        <a:p>
          <a:pPr eaLnBrk="1" fontAlgn="auto" latinLnBrk="0" hangingPunct="1"/>
          <a:r>
            <a:rPr lang="en-US" sz="1100" b="0" i="0" baseline="0">
              <a:solidFill>
                <a:schemeClr val="dk1"/>
              </a:solidFill>
              <a:effectLst/>
              <a:latin typeface="+mn-lt"/>
              <a:ea typeface="+mn-ea"/>
              <a:cs typeface="+mn-cs"/>
            </a:rPr>
            <a:t>For compliance years 2014-2015, PLC held a public meeting on November 14, 2013 to hear and consider staff proposals and public comment regarding the adoption and implementation of achievable conservation targets as required by RCW 19.285. PLC adopted its 2014-2015 targets by action of its Board of Directors via Resolution 2013-08 at its public meeting held on November 14, 2013.</a:t>
          </a:r>
          <a:endParaRPr lang="en-US">
            <a:effectLst/>
          </a:endParaRPr>
        </a:p>
        <a:p>
          <a:endParaRPr lang="en-US" sz="1100"/>
        </a:p>
      </xdr:txBody>
    </xdr:sp>
    <xdr:clientData/>
  </xdr:twoCellAnchor>
  <xdr:twoCellAnchor>
    <xdr:from>
      <xdr:col>6</xdr:col>
      <xdr:colOff>781050</xdr:colOff>
      <xdr:row>15</xdr:row>
      <xdr:rowOff>257175</xdr:rowOff>
    </xdr:from>
    <xdr:to>
      <xdr:col>7</xdr:col>
      <xdr:colOff>942975</xdr:colOff>
      <xdr:row>22</xdr:row>
      <xdr:rowOff>28575</xdr:rowOff>
    </xdr:to>
    <xdr:sp macro="" textlink="">
      <xdr:nvSpPr>
        <xdr:cNvPr id="4" name="TextBox 3"/>
        <xdr:cNvSpPr txBox="1"/>
      </xdr:nvSpPr>
      <xdr:spPr>
        <a:xfrm>
          <a:off x="5724525" y="3571875"/>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112</xdr:row>
      <xdr:rowOff>152400</xdr:rowOff>
    </xdr:to>
    <xdr:sp macro="" textlink="">
      <xdr:nvSpPr>
        <xdr:cNvPr id="2" name="TextBox 1"/>
        <xdr:cNvSpPr txBox="1"/>
      </xdr:nvSpPr>
      <xdr:spPr>
        <a:xfrm>
          <a:off x="180974" y="20335875"/>
          <a:ext cx="11134725" cy="22098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effectLst/>
              <a:latin typeface="+mn-lt"/>
              <a:ea typeface="+mn-ea"/>
              <a:cs typeface="+mn-cs"/>
            </a:rPr>
            <a:t>The calculation of the percentage of the revenue</a:t>
          </a:r>
          <a:r>
            <a:rPr lang="en-US" sz="1100" baseline="0">
              <a:solidFill>
                <a:schemeClr val="dk1"/>
              </a:solidFill>
              <a:effectLst/>
              <a:latin typeface="+mn-lt"/>
              <a:ea typeface="+mn-ea"/>
              <a:cs typeface="+mn-cs"/>
            </a:rPr>
            <a:t> requirement invested in renewable energy credits takes the cost of RECs divided by the 2015 annual retail revenue requirement.</a:t>
          </a:r>
          <a:endParaRPr lang="en-US">
            <a:effectLst/>
          </a:endParaRPr>
        </a:p>
        <a:p>
          <a:r>
            <a:rPr lang="en-US" sz="1100" b="1" baseline="0">
              <a:solidFill>
                <a:schemeClr val="dk1"/>
              </a:solidFill>
              <a:effectLst/>
              <a:latin typeface="+mn-lt"/>
              <a:ea typeface="+mn-ea"/>
              <a:cs typeface="+mn-cs"/>
            </a:rPr>
            <a:t>Project 	# of RECs	Price Per REC	Total</a:t>
          </a:r>
          <a:endParaRPr lang="en-US">
            <a:effectLst/>
          </a:endParaRPr>
        </a:p>
        <a:p>
          <a:r>
            <a:rPr lang="en-US" sz="1100" b="0" baseline="0">
              <a:solidFill>
                <a:schemeClr val="dk1"/>
              </a:solidFill>
              <a:effectLst/>
              <a:latin typeface="+mn-lt"/>
              <a:ea typeface="+mn-ea"/>
              <a:cs typeface="+mn-cs"/>
            </a:rPr>
            <a:t>Harvest Wind	11,098	$ 5.15	$57,154.70</a:t>
          </a:r>
          <a:endParaRPr lang="en-US">
            <a:effectLst/>
          </a:endParaRPr>
        </a:p>
        <a:p>
          <a:endParaRPr lang="en-US"/>
        </a:p>
      </xdr:txBody>
    </xdr:sp>
    <xdr:clientData/>
  </xdr:twoCellAnchor>
  <xdr:twoCellAnchor>
    <xdr:from>
      <xdr:col>0</xdr:col>
      <xdr:colOff>161925</xdr:colOff>
      <xdr:row>115</xdr:row>
      <xdr:rowOff>123825</xdr:rowOff>
    </xdr:from>
    <xdr:to>
      <xdr:col>14</xdr:col>
      <xdr:colOff>647701</xdr:colOff>
      <xdr:row>135</xdr:row>
      <xdr:rowOff>38100</xdr:rowOff>
    </xdr:to>
    <xdr:sp macro="" textlink="">
      <xdr:nvSpPr>
        <xdr:cNvPr id="3" name="TextBox 2"/>
        <xdr:cNvSpPr txBox="1"/>
      </xdr:nvSpPr>
      <xdr:spPr>
        <a:xfrm>
          <a:off x="161925" y="23002875"/>
          <a:ext cx="11191876" cy="234315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581526"/>
          <a:ext cx="1102042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2015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2015 for the purpose of meeting its Energy Independence Act (EIA) renewables target for 2015. The actual resources and RECs used to comply with the 2015 EIA target may vary from those reported here. Utilities will report in June of 2017 on the actual results for 2015.</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2015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2015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19050</xdr:colOff>
          <xdr:row>8</xdr:row>
          <xdr:rowOff>9525</xdr:rowOff>
        </xdr:from>
        <xdr:to>
          <xdr:col>4</xdr:col>
          <xdr:colOff>571500</xdr:colOff>
          <xdr:row>9</xdr:row>
          <xdr:rowOff>19050</xdr:rowOff>
        </xdr:to>
        <xdr:sp macro="" textlink="">
          <xdr:nvSpPr>
            <xdr:cNvPr id="5448" name="Check Box 328" hidden="1">
              <a:extLst>
                <a:ext uri="{63B3BB69-23CF-44E3-9099-C40C66FF867C}">
                  <a14:compatExt spid="_x0000_s54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9</xdr:row>
          <xdr:rowOff>28575</xdr:rowOff>
        </xdr:from>
        <xdr:to>
          <xdr:col>5</xdr:col>
          <xdr:colOff>0</xdr:colOff>
          <xdr:row>10</xdr:row>
          <xdr:rowOff>28575</xdr:rowOff>
        </xdr:to>
        <xdr:sp macro="" textlink="">
          <xdr:nvSpPr>
            <xdr:cNvPr id="5449" name="Check Box 329" hidden="1">
              <a:extLst>
                <a:ext uri="{63B3BB69-23CF-44E3-9099-C40C66FF867C}">
                  <a14:compatExt spid="_x0000_s54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10</xdr:row>
          <xdr:rowOff>66675</xdr:rowOff>
        </xdr:from>
        <xdr:to>
          <xdr:col>5</xdr:col>
          <xdr:colOff>114300</xdr:colOff>
          <xdr:row>11</xdr:row>
          <xdr:rowOff>9525</xdr:rowOff>
        </xdr:to>
        <xdr:sp macro="" textlink="">
          <xdr:nvSpPr>
            <xdr:cNvPr id="5450" name="Check Box 330" hidden="1">
              <a:extLst>
                <a:ext uri="{63B3BB69-23CF-44E3-9099-C40C66FF867C}">
                  <a14:compatExt spid="_x0000_s54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0</xdr:colOff>
      <xdr:row>63</xdr:row>
      <xdr:rowOff>0</xdr:rowOff>
    </xdr:from>
    <xdr:to>
      <xdr:col>12</xdr:col>
      <xdr:colOff>0</xdr:colOff>
      <xdr:row>75</xdr:row>
      <xdr:rowOff>152400</xdr:rowOff>
    </xdr:to>
    <xdr:sp macro="" textlink="">
      <xdr:nvSpPr>
        <xdr:cNvPr id="2" name="TextBox 1"/>
        <xdr:cNvSpPr txBox="1"/>
      </xdr:nvSpPr>
      <xdr:spPr>
        <a:xfrm>
          <a:off x="180975" y="12611100"/>
          <a:ext cx="10296526" cy="22098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effectLst/>
              <a:latin typeface="+mn-lt"/>
              <a:ea typeface="+mn-ea"/>
              <a:cs typeface="+mn-cs"/>
            </a:rPr>
            <a:t>The calculation of the percentage of the revenue</a:t>
          </a:r>
          <a:r>
            <a:rPr lang="en-US" sz="1100" baseline="0">
              <a:solidFill>
                <a:schemeClr val="dk1"/>
              </a:solidFill>
              <a:effectLst/>
              <a:latin typeface="+mn-lt"/>
              <a:ea typeface="+mn-ea"/>
              <a:cs typeface="+mn-cs"/>
            </a:rPr>
            <a:t> requirement invested in renewable energy credits takes the cost of RECs divided by the 2015 annual retail revenue requirement.</a:t>
          </a:r>
          <a:endParaRPr lang="en-US">
            <a:effectLst/>
          </a:endParaRPr>
        </a:p>
        <a:p>
          <a:r>
            <a:rPr lang="en-US" sz="1100" b="1" baseline="0">
              <a:solidFill>
                <a:schemeClr val="dk1"/>
              </a:solidFill>
              <a:effectLst/>
              <a:latin typeface="+mn-lt"/>
              <a:ea typeface="+mn-ea"/>
              <a:cs typeface="+mn-cs"/>
            </a:rPr>
            <a:t>Project 	# of RECs	Price Per REC	Total</a:t>
          </a:r>
          <a:endParaRPr lang="en-US">
            <a:effectLst/>
          </a:endParaRPr>
        </a:p>
        <a:p>
          <a:r>
            <a:rPr lang="en-US" sz="1100" b="0" baseline="0">
              <a:solidFill>
                <a:schemeClr val="dk1"/>
              </a:solidFill>
              <a:effectLst/>
              <a:latin typeface="+mn-lt"/>
              <a:ea typeface="+mn-ea"/>
              <a:cs typeface="+mn-cs"/>
            </a:rPr>
            <a:t>Harvest Wind	11,098	$ 5.15	$57,154.70</a:t>
          </a:r>
          <a:endParaRPr lang="en-US">
            <a:effectLst/>
          </a:endParaRPr>
        </a:p>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sharons@penlight.org"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sharons@penlight.org"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57"/>
  <sheetViews>
    <sheetView topLeftCell="A37" workbookViewId="0">
      <selection activeCell="A49" sqref="A49"/>
    </sheetView>
  </sheetViews>
  <sheetFormatPr defaultRowHeight="15" x14ac:dyDescent="0.25"/>
  <cols>
    <col min="1" max="1" width="135.140625" customWidth="1"/>
    <col min="14" max="14" width="11.7109375" customWidth="1"/>
  </cols>
  <sheetData>
    <row r="1" spans="1:14" ht="18.75" x14ac:dyDescent="0.25">
      <c r="A1" s="72" t="s">
        <v>107</v>
      </c>
    </row>
    <row r="2" spans="1:14" x14ac:dyDescent="0.25">
      <c r="A2" s="89" t="s">
        <v>119</v>
      </c>
    </row>
    <row r="3" spans="1:14" x14ac:dyDescent="0.25">
      <c r="A3" s="73"/>
      <c r="N3" s="88"/>
    </row>
    <row r="4" spans="1:14" x14ac:dyDescent="0.25">
      <c r="A4" s="74" t="s">
        <v>120</v>
      </c>
    </row>
    <row r="5" spans="1:14" x14ac:dyDescent="0.25">
      <c r="A5" s="74" t="s">
        <v>189</v>
      </c>
      <c r="N5">
        <f>IF(REN_Load_2013+REN_Load_2014&gt;0,AVERAGE(REN_Load_2013,REN_Load_2014),0)</f>
        <v>575322</v>
      </c>
    </row>
    <row r="6" spans="1:14" x14ac:dyDescent="0.25">
      <c r="A6" s="75" t="s">
        <v>108</v>
      </c>
    </row>
    <row r="7" spans="1:14" x14ac:dyDescent="0.25">
      <c r="A7" s="73"/>
    </row>
    <row r="8" spans="1:14" ht="57" x14ac:dyDescent="0.25">
      <c r="A8" s="76" t="s">
        <v>178</v>
      </c>
    </row>
    <row r="9" spans="1:14" x14ac:dyDescent="0.25">
      <c r="A9" s="76"/>
    </row>
    <row r="10" spans="1:14" x14ac:dyDescent="0.25">
      <c r="A10" s="77" t="s">
        <v>179</v>
      </c>
    </row>
    <row r="11" spans="1:14" x14ac:dyDescent="0.25">
      <c r="A11" s="77"/>
    </row>
    <row r="12" spans="1:14" x14ac:dyDescent="0.25">
      <c r="A12" s="148" t="s">
        <v>180</v>
      </c>
    </row>
    <row r="13" spans="1:14" x14ac:dyDescent="0.25">
      <c r="A13" s="149" t="s">
        <v>181</v>
      </c>
    </row>
    <row r="14" spans="1:14" ht="44.25" x14ac:dyDescent="0.25">
      <c r="A14" s="78" t="s">
        <v>182</v>
      </c>
    </row>
    <row r="15" spans="1:14" x14ac:dyDescent="0.25">
      <c r="A15" s="73"/>
    </row>
    <row r="16" spans="1:14" ht="29.25" x14ac:dyDescent="0.25">
      <c r="A16" s="75" t="s">
        <v>109</v>
      </c>
    </row>
    <row r="17" spans="1:1" x14ac:dyDescent="0.25">
      <c r="A17" s="73"/>
    </row>
    <row r="18" spans="1:1" ht="18.75" x14ac:dyDescent="0.25">
      <c r="A18" s="79" t="s">
        <v>110</v>
      </c>
    </row>
    <row r="19" spans="1:1" ht="57.75" customHeight="1" x14ac:dyDescent="0.25">
      <c r="A19" s="74" t="s">
        <v>123</v>
      </c>
    </row>
    <row r="20" spans="1:1" x14ac:dyDescent="0.25">
      <c r="A20" s="73"/>
    </row>
    <row r="21" spans="1:1" x14ac:dyDescent="0.25">
      <c r="A21" s="80" t="s">
        <v>111</v>
      </c>
    </row>
    <row r="22" spans="1:1" ht="29.25" x14ac:dyDescent="0.25">
      <c r="A22" s="81" t="s">
        <v>157</v>
      </c>
    </row>
    <row r="23" spans="1:1" x14ac:dyDescent="0.25">
      <c r="A23" s="73"/>
    </row>
    <row r="24" spans="1:1" ht="43.5" x14ac:dyDescent="0.25">
      <c r="A24" s="74" t="s">
        <v>158</v>
      </c>
    </row>
    <row r="25" spans="1:1" x14ac:dyDescent="0.25">
      <c r="A25" s="82"/>
    </row>
    <row r="26" spans="1:1" ht="42.75" x14ac:dyDescent="0.25">
      <c r="A26" s="78" t="s">
        <v>112</v>
      </c>
    </row>
    <row r="27" spans="1:1" x14ac:dyDescent="0.25">
      <c r="A27" s="73"/>
    </row>
    <row r="28" spans="1:1" ht="43.5" x14ac:dyDescent="0.25">
      <c r="A28" s="75" t="s">
        <v>183</v>
      </c>
    </row>
    <row r="29" spans="1:1" x14ac:dyDescent="0.25">
      <c r="A29" s="73"/>
    </row>
    <row r="30" spans="1:1" x14ac:dyDescent="0.25">
      <c r="A30" s="75" t="s">
        <v>184</v>
      </c>
    </row>
    <row r="31" spans="1:1" x14ac:dyDescent="0.25">
      <c r="A31" s="73"/>
    </row>
    <row r="32" spans="1:1" ht="18.75" x14ac:dyDescent="0.25">
      <c r="A32" s="79" t="s">
        <v>113</v>
      </c>
    </row>
    <row r="33" spans="1:1" ht="42.75" x14ac:dyDescent="0.25">
      <c r="A33" s="78" t="s">
        <v>114</v>
      </c>
    </row>
    <row r="34" spans="1:1" x14ac:dyDescent="0.25">
      <c r="A34" s="73"/>
    </row>
    <row r="35" spans="1:1" ht="43.5" x14ac:dyDescent="0.25">
      <c r="A35" s="75" t="s">
        <v>185</v>
      </c>
    </row>
    <row r="36" spans="1:1" x14ac:dyDescent="0.25">
      <c r="A36" s="73"/>
    </row>
    <row r="37" spans="1:1" ht="43.5" x14ac:dyDescent="0.25">
      <c r="A37" s="75" t="s">
        <v>115</v>
      </c>
    </row>
    <row r="38" spans="1:1" x14ac:dyDescent="0.25">
      <c r="A38" s="73"/>
    </row>
    <row r="39" spans="1:1" ht="43.5" x14ac:dyDescent="0.25">
      <c r="A39" s="75" t="s">
        <v>186</v>
      </c>
    </row>
    <row r="40" spans="1:1" x14ac:dyDescent="0.25">
      <c r="A40" s="73"/>
    </row>
    <row r="41" spans="1:1" x14ac:dyDescent="0.25">
      <c r="A41" s="74" t="s">
        <v>159</v>
      </c>
    </row>
    <row r="42" spans="1:1" ht="28.5" x14ac:dyDescent="0.25">
      <c r="A42" s="78" t="s">
        <v>161</v>
      </c>
    </row>
    <row r="43" spans="1:1" ht="43.5" x14ac:dyDescent="0.25">
      <c r="A43" s="78" t="s">
        <v>160</v>
      </c>
    </row>
    <row r="44" spans="1:1" x14ac:dyDescent="0.25">
      <c r="A44" s="73"/>
    </row>
    <row r="45" spans="1:1" ht="57.75" x14ac:dyDescent="0.25">
      <c r="A45" s="83" t="s">
        <v>187</v>
      </c>
    </row>
    <row r="46" spans="1:1" x14ac:dyDescent="0.25">
      <c r="A46" s="73"/>
    </row>
    <row r="47" spans="1:1" ht="74.25" customHeight="1" x14ac:dyDescent="0.25">
      <c r="A47" s="75" t="s">
        <v>188</v>
      </c>
    </row>
    <row r="48" spans="1:1" x14ac:dyDescent="0.25">
      <c r="A48" s="73"/>
    </row>
    <row r="49" spans="1:1" ht="57.75" x14ac:dyDescent="0.25">
      <c r="A49" s="75" t="s">
        <v>162</v>
      </c>
    </row>
    <row r="50" spans="1:1" x14ac:dyDescent="0.25">
      <c r="A50" s="73"/>
    </row>
    <row r="51" spans="1:1" x14ac:dyDescent="0.25">
      <c r="A51" s="74" t="s">
        <v>116</v>
      </c>
    </row>
    <row r="52" spans="1:1" ht="28.5" x14ac:dyDescent="0.25">
      <c r="A52" s="78" t="s">
        <v>163</v>
      </c>
    </row>
    <row r="53" spans="1:1" x14ac:dyDescent="0.25">
      <c r="A53" s="73"/>
    </row>
    <row r="54" spans="1:1" x14ac:dyDescent="0.25">
      <c r="A54" s="74" t="s">
        <v>117</v>
      </c>
    </row>
    <row r="55" spans="1:1" ht="28.5" x14ac:dyDescent="0.25">
      <c r="A55" s="78" t="s">
        <v>164</v>
      </c>
    </row>
    <row r="56" spans="1:1" x14ac:dyDescent="0.25">
      <c r="A56" s="73"/>
    </row>
    <row r="57" spans="1:1" ht="15.75" thickBot="1" x14ac:dyDescent="0.3">
      <c r="A57" s="84" t="s">
        <v>118</v>
      </c>
    </row>
  </sheetData>
  <pageMargins left="0.7" right="0.7" top="0.75" bottom="0.75" header="0.3" footer="0.3"/>
  <pageSetup scale="4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7"/>
  <sheetViews>
    <sheetView workbookViewId="0">
      <selection activeCell="A11" sqref="A11"/>
    </sheetView>
  </sheetViews>
  <sheetFormatPr defaultRowHeight="15" x14ac:dyDescent="0.25"/>
  <cols>
    <col min="1" max="1" width="107" customWidth="1"/>
    <col min="14" max="14" width="11.7109375" customWidth="1"/>
  </cols>
  <sheetData>
    <row r="1" spans="1:14" ht="18.75" x14ac:dyDescent="0.25">
      <c r="A1" s="68" t="s">
        <v>190</v>
      </c>
    </row>
    <row r="2" spans="1:14" ht="18.75" x14ac:dyDescent="0.25">
      <c r="A2" s="69"/>
    </row>
    <row r="3" spans="1:14" ht="57" x14ac:dyDescent="0.25">
      <c r="A3" s="70" t="s">
        <v>191</v>
      </c>
      <c r="N3" s="88"/>
    </row>
    <row r="4" spans="1:14" x14ac:dyDescent="0.25">
      <c r="A4" s="70"/>
      <c r="N4" s="88"/>
    </row>
    <row r="5" spans="1:14" ht="86.25" x14ac:dyDescent="0.25">
      <c r="A5" s="70" t="s">
        <v>122</v>
      </c>
      <c r="N5" s="88"/>
    </row>
    <row r="6" spans="1:14" x14ac:dyDescent="0.25">
      <c r="A6" s="70"/>
    </row>
    <row r="7" spans="1:14" ht="29.25" thickBot="1" x14ac:dyDescent="0.3">
      <c r="A7" s="71" t="s">
        <v>121</v>
      </c>
      <c r="N7">
        <f>IF(REN_Load_2013+REN_Load_2014&gt;0,AVERAGE(REN_Load_2013,REN_Load_2014),0)</f>
        <v>575322</v>
      </c>
    </row>
  </sheetData>
  <pageMargins left="0.7" right="0.7" top="0.75" bottom="0.75" header="0.3" footer="0.3"/>
  <pageSetup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M33"/>
  <sheetViews>
    <sheetView zoomScaleNormal="100" workbookViewId="0">
      <selection activeCell="D23" sqref="D23"/>
    </sheetView>
  </sheetViews>
  <sheetFormatPr defaultColWidth="9.140625" defaultRowHeight="12.75" x14ac:dyDescent="0.2"/>
  <cols>
    <col min="1" max="1" width="3.140625" style="1" customWidth="1"/>
    <col min="2" max="3" width="16.7109375" style="1" customWidth="1"/>
    <col min="4" max="4" width="17.140625" style="1" customWidth="1"/>
    <col min="5" max="5" width="16" style="1" customWidth="1"/>
    <col min="6" max="6" width="4.42578125" style="1" customWidth="1"/>
    <col min="7" max="7" width="14.42578125" style="1" customWidth="1"/>
    <col min="8" max="8" width="15.28515625" style="1" customWidth="1"/>
    <col min="9" max="9" width="12.28515625" style="1" customWidth="1"/>
    <col min="10" max="10" width="11.140625" style="1" customWidth="1"/>
    <col min="11" max="12" width="9.140625" style="1"/>
    <col min="13" max="13" width="11.7109375" style="1" customWidth="1"/>
    <col min="14" max="16384" width="9.140625" style="1"/>
  </cols>
  <sheetData>
    <row r="1" spans="1:13" s="7" customFormat="1" ht="19.5" x14ac:dyDescent="0.4">
      <c r="B1" s="57" t="s">
        <v>125</v>
      </c>
    </row>
    <row r="2" spans="1:13" ht="15" customHeight="1" x14ac:dyDescent="0.2">
      <c r="B2" s="2"/>
    </row>
    <row r="3" spans="1:13" ht="14.25" customHeight="1" x14ac:dyDescent="0.2">
      <c r="B3" s="3" t="s">
        <v>4</v>
      </c>
      <c r="C3" s="174" t="s">
        <v>197</v>
      </c>
      <c r="D3" s="174"/>
      <c r="E3" s="174"/>
      <c r="M3" s="87"/>
    </row>
    <row r="4" spans="1:13" ht="15" customHeight="1" x14ac:dyDescent="0.2">
      <c r="B4" s="4" t="s">
        <v>65</v>
      </c>
      <c r="C4" s="175">
        <v>42152</v>
      </c>
      <c r="D4" s="175"/>
      <c r="E4" s="175"/>
      <c r="F4" s="13"/>
    </row>
    <row r="5" spans="1:13" ht="15" customHeight="1" x14ac:dyDescent="0.2">
      <c r="B5" s="5" t="s">
        <v>64</v>
      </c>
      <c r="C5" s="176" t="s">
        <v>212</v>
      </c>
      <c r="D5" s="176"/>
      <c r="E5" s="176"/>
      <c r="F5" s="7"/>
    </row>
    <row r="6" spans="1:13" ht="15" customHeight="1" x14ac:dyDescent="0.2">
      <c r="B6" s="5" t="s">
        <v>1</v>
      </c>
      <c r="C6" s="176" t="s">
        <v>198</v>
      </c>
      <c r="D6" s="176"/>
      <c r="E6" s="176"/>
      <c r="F6" s="7"/>
    </row>
    <row r="7" spans="1:13" ht="15" customHeight="1" x14ac:dyDescent="0.2">
      <c r="B7" s="5" t="s">
        <v>2</v>
      </c>
      <c r="C7" s="177" t="s">
        <v>199</v>
      </c>
      <c r="D7" s="178"/>
      <c r="E7" s="178"/>
      <c r="F7" s="7"/>
    </row>
    <row r="8" spans="1:13" ht="15" customHeight="1" thickBot="1" x14ac:dyDescent="0.25">
      <c r="B8" s="5"/>
      <c r="C8" s="58"/>
      <c r="D8" s="7"/>
      <c r="E8" s="7"/>
      <c r="F8" s="7"/>
    </row>
    <row r="9" spans="1:13" s="7" customFormat="1" ht="13.5" thickTop="1" x14ac:dyDescent="0.2">
      <c r="B9" s="167" t="s">
        <v>57</v>
      </c>
      <c r="C9" s="167"/>
      <c r="D9" s="167"/>
      <c r="E9" s="167"/>
      <c r="F9" s="168"/>
      <c r="G9" s="1"/>
      <c r="H9" s="1"/>
      <c r="I9" s="1"/>
      <c r="J9" s="1"/>
    </row>
    <row r="10" spans="1:13" s="7" customFormat="1" x14ac:dyDescent="0.2">
      <c r="B10" s="169"/>
      <c r="C10" s="169"/>
      <c r="D10" s="170" t="s">
        <v>59</v>
      </c>
      <c r="E10" s="170"/>
      <c r="G10" s="1"/>
      <c r="H10" s="1"/>
      <c r="I10" s="1"/>
      <c r="J10" s="1"/>
    </row>
    <row r="11" spans="1:13" ht="52.5" customHeight="1" x14ac:dyDescent="0.2">
      <c r="B11" s="7"/>
      <c r="C11" s="7"/>
      <c r="D11" s="90" t="s">
        <v>61</v>
      </c>
      <c r="E11" s="59" t="s">
        <v>60</v>
      </c>
    </row>
    <row r="12" spans="1:13" ht="15" customHeight="1" x14ac:dyDescent="0.2">
      <c r="D12" s="164">
        <v>28645</v>
      </c>
      <c r="E12" s="165">
        <v>5729.04</v>
      </c>
    </row>
    <row r="13" spans="1:13" ht="15" customHeight="1" thickBot="1" x14ac:dyDescent="0.25">
      <c r="B13" s="7"/>
      <c r="C13" s="7"/>
      <c r="D13" s="7"/>
      <c r="E13" s="7"/>
      <c r="F13" s="7"/>
      <c r="G13" s="7"/>
      <c r="H13" s="7"/>
    </row>
    <row r="14" spans="1:13" ht="13.5" thickTop="1" x14ac:dyDescent="0.2">
      <c r="B14" s="171" t="s">
        <v>3</v>
      </c>
      <c r="C14" s="171"/>
      <c r="D14" s="171"/>
      <c r="E14" s="171"/>
      <c r="F14" s="171"/>
      <c r="G14" s="171"/>
      <c r="H14" s="171"/>
    </row>
    <row r="15" spans="1:13" ht="15" customHeight="1" x14ac:dyDescent="0.2">
      <c r="A15" s="7"/>
      <c r="B15" s="15"/>
      <c r="D15" s="170" t="s">
        <v>124</v>
      </c>
      <c r="E15" s="170"/>
    </row>
    <row r="16" spans="1:13" ht="30.75" customHeight="1" x14ac:dyDescent="0.2">
      <c r="A16" s="7"/>
      <c r="C16" s="16" t="s">
        <v>42</v>
      </c>
      <c r="D16" s="14" t="s">
        <v>7</v>
      </c>
      <c r="E16" s="14" t="s">
        <v>8</v>
      </c>
    </row>
    <row r="17" spans="1:8" ht="15" customHeight="1" x14ac:dyDescent="0.2">
      <c r="A17" s="7"/>
      <c r="C17" s="30" t="s">
        <v>9</v>
      </c>
      <c r="D17" s="117">
        <v>2685.87</v>
      </c>
      <c r="E17" s="118">
        <v>464197</v>
      </c>
    </row>
    <row r="18" spans="1:8" ht="15" customHeight="1" x14ac:dyDescent="0.2">
      <c r="A18" s="7"/>
      <c r="C18" s="30" t="s">
        <v>10</v>
      </c>
      <c r="D18" s="117">
        <v>1155.23</v>
      </c>
      <c r="E18" s="118">
        <v>161936</v>
      </c>
    </row>
    <row r="19" spans="1:8" ht="15" customHeight="1" x14ac:dyDescent="0.2">
      <c r="A19" s="7"/>
      <c r="C19" s="30" t="s">
        <v>11</v>
      </c>
      <c r="D19" s="117">
        <v>59.7</v>
      </c>
      <c r="E19" s="118">
        <v>8070</v>
      </c>
    </row>
    <row r="20" spans="1:8" ht="15" customHeight="1" x14ac:dyDescent="0.2">
      <c r="A20" s="7"/>
      <c r="C20" s="30" t="s">
        <v>12</v>
      </c>
      <c r="D20" s="117"/>
      <c r="E20" s="118"/>
    </row>
    <row r="21" spans="1:8" ht="15" customHeight="1" x14ac:dyDescent="0.2">
      <c r="A21" s="7"/>
      <c r="C21" s="30" t="s">
        <v>37</v>
      </c>
      <c r="D21" s="117"/>
      <c r="E21" s="118"/>
    </row>
    <row r="22" spans="1:8" ht="15" customHeight="1" x14ac:dyDescent="0.2">
      <c r="A22" s="7"/>
      <c r="C22" s="31" t="s">
        <v>38</v>
      </c>
      <c r="D22" s="117"/>
      <c r="E22" s="118"/>
    </row>
    <row r="23" spans="1:8" ht="15" customHeight="1" x14ac:dyDescent="0.2">
      <c r="A23" s="7"/>
      <c r="C23" s="31" t="s">
        <v>5</v>
      </c>
      <c r="D23" s="119">
        <v>2505.36</v>
      </c>
      <c r="E23" s="118"/>
    </row>
    <row r="24" spans="1:8" ht="15" customHeight="1" x14ac:dyDescent="0.2">
      <c r="A24" s="7"/>
      <c r="C24" s="120"/>
      <c r="D24" s="119"/>
      <c r="E24" s="118"/>
    </row>
    <row r="25" spans="1:8" ht="15" customHeight="1" x14ac:dyDescent="0.2">
      <c r="A25" s="7"/>
      <c r="C25" s="120"/>
      <c r="D25" s="119"/>
      <c r="E25" s="118"/>
    </row>
    <row r="26" spans="1:8" ht="30.75" customHeight="1" x14ac:dyDescent="0.2">
      <c r="A26" s="7"/>
      <c r="B26" s="172" t="s">
        <v>58</v>
      </c>
      <c r="C26" s="173"/>
      <c r="E26" s="118">
        <v>191849</v>
      </c>
    </row>
    <row r="27" spans="1:8" ht="15" customHeight="1" x14ac:dyDescent="0.2">
      <c r="A27" s="7"/>
      <c r="C27" s="121"/>
      <c r="D27" s="62"/>
    </row>
    <row r="28" spans="1:8" ht="15" customHeight="1" x14ac:dyDescent="0.2">
      <c r="A28" s="7"/>
      <c r="C28" s="121"/>
      <c r="D28" s="63"/>
      <c r="E28" s="118"/>
    </row>
    <row r="29" spans="1:8" ht="15" customHeight="1" x14ac:dyDescent="0.2">
      <c r="C29" s="32" t="s">
        <v>6</v>
      </c>
      <c r="D29" s="114">
        <f>SUM(D17:D25)</f>
        <v>6406.16</v>
      </c>
      <c r="E29" s="115">
        <f>SUM(E17:E28)</f>
        <v>826052</v>
      </c>
    </row>
    <row r="30" spans="1:8" ht="15" customHeight="1" x14ac:dyDescent="0.2">
      <c r="B30" s="17"/>
      <c r="C30" s="18"/>
      <c r="D30" s="19"/>
      <c r="E30" s="18"/>
      <c r="F30" s="19"/>
    </row>
    <row r="31" spans="1:8" s="7" customFormat="1" ht="15" customHeight="1" x14ac:dyDescent="0.2">
      <c r="B31" s="3" t="s">
        <v>4</v>
      </c>
      <c r="C31" s="166" t="str">
        <f>CON_Utility_Name</f>
        <v>Peninsula Light Company</v>
      </c>
      <c r="D31" s="166"/>
      <c r="E31" s="166"/>
      <c r="F31" s="166"/>
      <c r="G31" s="1"/>
      <c r="H31" s="1"/>
    </row>
    <row r="32" spans="1:8" s="7" customFormat="1" ht="21" customHeight="1" x14ac:dyDescent="0.2">
      <c r="B32" s="3"/>
      <c r="C32" s="6"/>
      <c r="D32" s="6"/>
      <c r="E32" s="6"/>
      <c r="F32" s="6"/>
    </row>
    <row r="33" spans="2:2" x14ac:dyDescent="0.2">
      <c r="B33" s="11" t="s">
        <v>36</v>
      </c>
    </row>
  </sheetData>
  <mergeCells count="13">
    <mergeCell ref="C3:E3"/>
    <mergeCell ref="C4:E4"/>
    <mergeCell ref="C5:E5"/>
    <mergeCell ref="C6:E6"/>
    <mergeCell ref="C7:E7"/>
    <mergeCell ref="C31:F31"/>
    <mergeCell ref="B9:F9"/>
    <mergeCell ref="B10:C10"/>
    <mergeCell ref="D10:E10"/>
    <mergeCell ref="G14:H14"/>
    <mergeCell ref="B14:F14"/>
    <mergeCell ref="B26:C26"/>
    <mergeCell ref="D15:E15"/>
  </mergeCells>
  <hyperlinks>
    <hyperlink ref="C7" r:id="rId1"/>
  </hyperlinks>
  <pageMargins left="0.7" right="0.7" top="0.75" bottom="0.75" header="0.3" footer="0.3"/>
  <pageSetup scale="96" fitToHeight="0" orientation="landscape" r:id="rId2"/>
  <rowBreaks count="1" manualBreakCount="1">
    <brk id="29" max="16383"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H136"/>
  <sheetViews>
    <sheetView showGridLines="0" tabSelected="1" view="pageBreakPreview" zoomScaleNormal="100" zoomScaleSheetLayoutView="100" workbookViewId="0">
      <selection activeCell="G5" sqref="G5"/>
    </sheetView>
  </sheetViews>
  <sheetFormatPr defaultColWidth="9.140625" defaultRowHeight="12.75" x14ac:dyDescent="0.2"/>
  <cols>
    <col min="1" max="1" width="2.7109375" style="1" customWidth="1"/>
    <col min="2" max="2" width="36.85546875" style="1" customWidth="1"/>
    <col min="3" max="4" width="10.28515625" style="1" customWidth="1"/>
    <col min="5" max="13" width="10.7109375" style="1" customWidth="1"/>
    <col min="14" max="14" width="11.7109375" style="1" customWidth="1"/>
    <col min="15" max="15" width="10.7109375" style="1" customWidth="1"/>
    <col min="16" max="16" width="10.5703125" style="1" customWidth="1"/>
    <col min="17" max="17" width="10.7109375" style="1" customWidth="1"/>
    <col min="18" max="16384" width="9.140625" style="1"/>
  </cols>
  <sheetData>
    <row r="1" spans="2:34" s="7" customFormat="1" ht="19.5" x14ac:dyDescent="0.4">
      <c r="B1" s="48" t="s">
        <v>156</v>
      </c>
      <c r="C1" s="48"/>
      <c r="D1" s="48"/>
      <c r="AC1" s="43" t="s">
        <v>48</v>
      </c>
      <c r="AH1" s="40"/>
    </row>
    <row r="2" spans="2:34" ht="14.25" x14ac:dyDescent="0.2">
      <c r="B2" s="24"/>
      <c r="C2" s="24"/>
      <c r="D2" s="24"/>
      <c r="I2" s="179" t="s">
        <v>46</v>
      </c>
      <c r="J2" s="180"/>
      <c r="K2" s="180"/>
      <c r="L2" s="180"/>
      <c r="M2" s="180"/>
      <c r="N2" s="181"/>
      <c r="AC2" s="44" t="s">
        <v>49</v>
      </c>
      <c r="AH2" s="38"/>
    </row>
    <row r="3" spans="2:34" ht="15" customHeight="1" x14ac:dyDescent="0.2">
      <c r="B3" s="3" t="s">
        <v>4</v>
      </c>
      <c r="C3" s="174" t="s">
        <v>197</v>
      </c>
      <c r="D3" s="174"/>
      <c r="E3" s="174"/>
      <c r="I3" s="53"/>
      <c r="J3" s="7"/>
      <c r="K3" s="7"/>
      <c r="L3" s="7"/>
      <c r="M3" s="52" t="s">
        <v>53</v>
      </c>
      <c r="N3" s="162">
        <v>580598</v>
      </c>
      <c r="AC3" s="44" t="s">
        <v>50</v>
      </c>
      <c r="AH3" s="38"/>
    </row>
    <row r="4" spans="2:34" ht="15" customHeight="1" thickBot="1" x14ac:dyDescent="0.25">
      <c r="B4" s="4" t="s">
        <v>65</v>
      </c>
      <c r="C4" s="175">
        <v>42152</v>
      </c>
      <c r="D4" s="175"/>
      <c r="E4" s="175"/>
      <c r="I4" s="53"/>
      <c r="J4" s="7"/>
      <c r="K4" s="7"/>
      <c r="L4" s="7"/>
      <c r="M4" s="52" t="s">
        <v>153</v>
      </c>
      <c r="N4" s="162">
        <v>570046</v>
      </c>
      <c r="AC4" s="44" t="s">
        <v>51</v>
      </c>
      <c r="AH4" s="39"/>
    </row>
    <row r="5" spans="2:34" ht="15" customHeight="1" x14ac:dyDescent="0.2">
      <c r="B5" s="5" t="s">
        <v>0</v>
      </c>
      <c r="C5" s="176" t="s">
        <v>212</v>
      </c>
      <c r="D5" s="176"/>
      <c r="E5" s="176"/>
      <c r="I5" s="53"/>
      <c r="J5" s="7"/>
      <c r="K5" s="7"/>
      <c r="L5" s="7"/>
      <c r="M5" s="52" t="s">
        <v>154</v>
      </c>
      <c r="N5" s="163">
        <f>IF(REN_Load_2013+REN_Load_2014&gt;0,AVERAGE(REN_Load_2013,REN_Load_2014),0)</f>
        <v>575322</v>
      </c>
    </row>
    <row r="6" spans="2:34" ht="15" customHeight="1" x14ac:dyDescent="0.2">
      <c r="B6" s="5" t="s">
        <v>1</v>
      </c>
      <c r="C6" s="176" t="s">
        <v>198</v>
      </c>
      <c r="D6" s="176"/>
      <c r="E6" s="176"/>
      <c r="I6" s="53"/>
      <c r="J6" s="7"/>
      <c r="K6" s="7"/>
      <c r="L6" s="7"/>
      <c r="M6" s="52" t="s">
        <v>155</v>
      </c>
      <c r="N6" s="113">
        <v>0.03</v>
      </c>
    </row>
    <row r="7" spans="2:34" ht="15" customHeight="1" x14ac:dyDescent="0.2">
      <c r="B7" s="5" t="s">
        <v>2</v>
      </c>
      <c r="C7" s="177" t="s">
        <v>199</v>
      </c>
      <c r="D7" s="178"/>
      <c r="E7" s="178"/>
      <c r="I7" s="61"/>
      <c r="J7" s="7"/>
      <c r="K7" s="7"/>
      <c r="L7" s="7"/>
      <c r="M7" s="52" t="s">
        <v>169</v>
      </c>
      <c r="N7" s="162">
        <f>N5*N6</f>
        <v>17259.66</v>
      </c>
    </row>
    <row r="8" spans="2:34" ht="15" customHeight="1" x14ac:dyDescent="0.2">
      <c r="B8" s="5"/>
      <c r="C8" s="5"/>
      <c r="D8" s="5"/>
      <c r="E8" s="37"/>
      <c r="I8" s="54"/>
      <c r="J8" s="55"/>
      <c r="K8" s="55"/>
      <c r="L8" s="55"/>
      <c r="M8" s="56" t="s">
        <v>52</v>
      </c>
      <c r="N8" s="162">
        <v>17260</v>
      </c>
    </row>
    <row r="9" spans="2:34" ht="15" customHeight="1" x14ac:dyDescent="0.2">
      <c r="B9" s="3" t="s">
        <v>193</v>
      </c>
      <c r="C9" s="49"/>
      <c r="D9" s="49"/>
    </row>
    <row r="10" spans="2:34" ht="15" customHeight="1" x14ac:dyDescent="0.2">
      <c r="C10" s="24"/>
      <c r="D10" s="24"/>
      <c r="G10" s="182" t="s">
        <v>192</v>
      </c>
      <c r="H10" s="183"/>
      <c r="I10" s="183"/>
      <c r="J10" s="183"/>
      <c r="K10" s="183"/>
      <c r="L10" s="183"/>
      <c r="M10" s="183"/>
      <c r="N10" s="184"/>
    </row>
    <row r="11" spans="2:34" s="41" customFormat="1" ht="14.25" customHeight="1" x14ac:dyDescent="0.25">
      <c r="B11" s="1"/>
      <c r="C11" s="42"/>
      <c r="D11" s="42"/>
      <c r="G11" s="53" t="s">
        <v>101</v>
      </c>
      <c r="H11" s="66"/>
      <c r="I11" s="66"/>
      <c r="J11" s="66"/>
      <c r="K11" s="66"/>
      <c r="L11" s="66"/>
      <c r="M11" s="7"/>
      <c r="N11" s="111">
        <v>57154.7</v>
      </c>
    </row>
    <row r="12" spans="2:34" x14ac:dyDescent="0.2">
      <c r="C12" s="24"/>
      <c r="D12" s="24"/>
      <c r="G12" s="53" t="s">
        <v>170</v>
      </c>
      <c r="H12" s="64"/>
      <c r="I12" s="64"/>
      <c r="J12" s="64"/>
      <c r="K12" s="64"/>
      <c r="L12" s="7"/>
      <c r="M12" s="7"/>
      <c r="N12" s="122">
        <v>51286004</v>
      </c>
    </row>
    <row r="13" spans="2:34" x14ac:dyDescent="0.2">
      <c r="G13" s="67" t="s">
        <v>102</v>
      </c>
      <c r="H13" s="65"/>
      <c r="I13" s="65"/>
      <c r="J13" s="65"/>
      <c r="K13" s="65"/>
      <c r="L13" s="55"/>
      <c r="M13" s="55"/>
      <c r="N13" s="112">
        <f>IF(REN_RetailRevenueRequirement_2015&gt;0,REN_Expenditure_Amount_2015/REN_RetailRevenueRequirement_2015,"")</f>
        <v>1.1144307519065045E-3</v>
      </c>
    </row>
    <row r="14" spans="2:34" ht="17.45" customHeight="1" x14ac:dyDescent="0.2">
      <c r="I14" s="185"/>
      <c r="J14" s="185"/>
      <c r="K14" s="185"/>
      <c r="L14" s="185"/>
      <c r="M14" s="185"/>
      <c r="N14" s="34"/>
      <c r="O14" s="20"/>
      <c r="P14" s="20"/>
    </row>
    <row r="15" spans="2:34" ht="16.899999999999999" customHeight="1" x14ac:dyDescent="0.2">
      <c r="B15" s="5"/>
      <c r="C15" s="29" t="s">
        <v>14</v>
      </c>
      <c r="D15" s="27" t="s">
        <v>15</v>
      </c>
      <c r="E15" s="27" t="s">
        <v>16</v>
      </c>
      <c r="F15" s="27" t="s">
        <v>17</v>
      </c>
      <c r="G15" s="27" t="s">
        <v>18</v>
      </c>
      <c r="H15" s="27" t="s">
        <v>19</v>
      </c>
      <c r="I15" s="27" t="s">
        <v>20</v>
      </c>
      <c r="J15" s="27" t="s">
        <v>21</v>
      </c>
      <c r="K15" s="28" t="s">
        <v>22</v>
      </c>
      <c r="L15" s="28" t="s">
        <v>66</v>
      </c>
      <c r="M15" s="28" t="s">
        <v>67</v>
      </c>
      <c r="N15" s="34"/>
      <c r="O15" s="20"/>
      <c r="P15" s="20"/>
    </row>
    <row r="16" spans="2:34" ht="21.75" customHeight="1" x14ac:dyDescent="0.2">
      <c r="B16" s="10"/>
      <c r="C16" s="23" t="s">
        <v>23</v>
      </c>
      <c r="D16" s="23" t="s">
        <v>24</v>
      </c>
      <c r="E16" s="23" t="s">
        <v>25</v>
      </c>
      <c r="F16" s="23" t="s">
        <v>26</v>
      </c>
      <c r="G16" s="23" t="s">
        <v>27</v>
      </c>
      <c r="H16" s="23" t="s">
        <v>41</v>
      </c>
      <c r="I16" s="23" t="s">
        <v>28</v>
      </c>
      <c r="J16" s="23" t="s">
        <v>29</v>
      </c>
      <c r="K16" s="23" t="s">
        <v>30</v>
      </c>
      <c r="L16" s="23" t="s">
        <v>34</v>
      </c>
      <c r="M16" s="23" t="s">
        <v>31</v>
      </c>
      <c r="N16" s="34"/>
      <c r="O16" s="20"/>
      <c r="P16" s="20"/>
    </row>
    <row r="17" spans="2:34" ht="18" customHeight="1" x14ac:dyDescent="0.2">
      <c r="B17" s="5"/>
      <c r="C17" s="21" t="s">
        <v>7</v>
      </c>
      <c r="D17" s="21" t="s">
        <v>7</v>
      </c>
      <c r="E17" s="21" t="s">
        <v>7</v>
      </c>
      <c r="F17" s="21" t="s">
        <v>7</v>
      </c>
      <c r="G17" s="21" t="s">
        <v>7</v>
      </c>
      <c r="H17" s="21" t="s">
        <v>7</v>
      </c>
      <c r="I17" s="21" t="s">
        <v>7</v>
      </c>
      <c r="J17" s="21" t="s">
        <v>7</v>
      </c>
      <c r="K17" s="21" t="s">
        <v>7</v>
      </c>
      <c r="L17" s="21" t="s">
        <v>56</v>
      </c>
      <c r="M17" s="21" t="s">
        <v>56</v>
      </c>
      <c r="N17" s="34"/>
      <c r="O17" s="20"/>
      <c r="P17" s="20"/>
    </row>
    <row r="18" spans="2:34" ht="15" customHeight="1" x14ac:dyDescent="0.2">
      <c r="B18" s="4" t="s">
        <v>43</v>
      </c>
      <c r="C18" s="123">
        <f t="shared" ref="C18:L18" si="0">SUM(E44:E64)</f>
        <v>0</v>
      </c>
      <c r="D18" s="123">
        <f t="shared" si="0"/>
        <v>0</v>
      </c>
      <c r="E18" s="123">
        <f t="shared" si="0"/>
        <v>0</v>
      </c>
      <c r="F18" s="123">
        <f t="shared" si="0"/>
        <v>0</v>
      </c>
      <c r="G18" s="123">
        <f t="shared" si="0"/>
        <v>0</v>
      </c>
      <c r="H18" s="123">
        <f t="shared" si="0"/>
        <v>0</v>
      </c>
      <c r="I18" s="123">
        <f t="shared" si="0"/>
        <v>0</v>
      </c>
      <c r="J18" s="123">
        <f t="shared" si="0"/>
        <v>0</v>
      </c>
      <c r="K18" s="123">
        <f t="shared" si="0"/>
        <v>0</v>
      </c>
      <c r="L18" s="123">
        <f t="shared" si="0"/>
        <v>0</v>
      </c>
      <c r="M18" s="60"/>
      <c r="N18" s="35"/>
      <c r="O18" s="46"/>
      <c r="P18" s="46"/>
    </row>
    <row r="19" spans="2:34" ht="16.5" customHeight="1" x14ac:dyDescent="0.2">
      <c r="B19" s="4" t="s">
        <v>44</v>
      </c>
      <c r="C19" s="60"/>
      <c r="D19" s="124">
        <v>15040</v>
      </c>
      <c r="E19" s="124">
        <f t="shared" ref="E19:M19" si="1">SUM(G72:G96)</f>
        <v>0</v>
      </c>
      <c r="F19" s="124">
        <f t="shared" si="1"/>
        <v>0</v>
      </c>
      <c r="G19" s="124">
        <f t="shared" si="1"/>
        <v>0</v>
      </c>
      <c r="H19" s="124">
        <f t="shared" si="1"/>
        <v>0</v>
      </c>
      <c r="I19" s="124">
        <f t="shared" si="1"/>
        <v>0</v>
      </c>
      <c r="J19" s="124">
        <f t="shared" si="1"/>
        <v>0</v>
      </c>
      <c r="K19" s="124">
        <f t="shared" si="1"/>
        <v>0</v>
      </c>
      <c r="L19" s="124">
        <v>2220</v>
      </c>
      <c r="M19" s="124">
        <f t="shared" si="1"/>
        <v>0</v>
      </c>
      <c r="N19" s="36"/>
      <c r="O19" s="20"/>
      <c r="P19" s="20"/>
    </row>
    <row r="20" spans="2:34" ht="16.5" customHeight="1" x14ac:dyDescent="0.2">
      <c r="B20" s="5" t="s">
        <v>45</v>
      </c>
      <c r="C20" s="125">
        <f t="shared" ref="C20:L20" si="2">C18+C19</f>
        <v>0</v>
      </c>
      <c r="D20" s="125">
        <f t="shared" si="2"/>
        <v>15040</v>
      </c>
      <c r="E20" s="125">
        <f t="shared" si="2"/>
        <v>0</v>
      </c>
      <c r="F20" s="125">
        <f t="shared" si="2"/>
        <v>0</v>
      </c>
      <c r="G20" s="125">
        <f t="shared" si="2"/>
        <v>0</v>
      </c>
      <c r="H20" s="125">
        <f t="shared" si="2"/>
        <v>0</v>
      </c>
      <c r="I20" s="125">
        <f t="shared" si="2"/>
        <v>0</v>
      </c>
      <c r="J20" s="125">
        <f t="shared" si="2"/>
        <v>0</v>
      </c>
      <c r="K20" s="125">
        <f t="shared" si="2"/>
        <v>0</v>
      </c>
      <c r="L20" s="125">
        <f t="shared" si="2"/>
        <v>2220</v>
      </c>
      <c r="M20" s="124">
        <f>M19</f>
        <v>0</v>
      </c>
      <c r="N20" s="36"/>
      <c r="O20" s="20"/>
      <c r="P20" s="20"/>
    </row>
    <row r="21" spans="2:34" ht="16.5" customHeight="1" x14ac:dyDescent="0.2">
      <c r="L21" s="7"/>
      <c r="M21" s="4"/>
      <c r="N21" s="36"/>
      <c r="O21" s="20"/>
      <c r="P21" s="20"/>
    </row>
    <row r="22" spans="2:34" ht="21.75" customHeight="1" x14ac:dyDescent="0.2">
      <c r="L22" s="7"/>
      <c r="M22" s="4"/>
      <c r="N22" s="36"/>
      <c r="O22" s="20"/>
      <c r="P22" s="20"/>
    </row>
    <row r="23" spans="2:34" ht="15" customHeight="1" x14ac:dyDescent="0.2">
      <c r="B23" s="47"/>
      <c r="C23" s="50"/>
      <c r="D23" s="50"/>
      <c r="E23" s="47"/>
      <c r="F23" s="50"/>
      <c r="G23" s="50"/>
      <c r="I23" s="7"/>
      <c r="J23" s="7"/>
      <c r="K23" s="7"/>
      <c r="L23" s="7"/>
      <c r="M23" s="4"/>
      <c r="N23" s="36"/>
      <c r="O23" s="20"/>
      <c r="P23" s="20"/>
    </row>
    <row r="24" spans="2:34" ht="15" customHeight="1" x14ac:dyDescent="0.2"/>
    <row r="25" spans="2:34" s="11" customFormat="1" x14ac:dyDescent="0.2">
      <c r="AH25" s="1"/>
    </row>
    <row r="26" spans="2:34" ht="15" customHeight="1" x14ac:dyDescent="0.2">
      <c r="AH26" s="11"/>
    </row>
    <row r="27" spans="2:34" ht="15" customHeight="1" x14ac:dyDescent="0.2">
      <c r="AH27" s="11"/>
    </row>
    <row r="28" spans="2:34" ht="15" customHeight="1" x14ac:dyDescent="0.2">
      <c r="AH28" s="11"/>
    </row>
    <row r="29" spans="2:34" ht="15" customHeight="1" x14ac:dyDescent="0.2">
      <c r="AH29" s="11"/>
    </row>
    <row r="30" spans="2:34" ht="15" customHeight="1" x14ac:dyDescent="0.2">
      <c r="AH30" s="11"/>
    </row>
    <row r="31" spans="2:34" ht="15" customHeight="1" x14ac:dyDescent="0.2">
      <c r="AH31" s="11"/>
    </row>
    <row r="32" spans="2:34" ht="15" customHeight="1" x14ac:dyDescent="0.2">
      <c r="AH32" s="11"/>
    </row>
    <row r="33" spans="2:34" ht="15" customHeight="1" x14ac:dyDescent="0.2"/>
    <row r="34" spans="2:34" ht="15" customHeight="1" x14ac:dyDescent="0.2"/>
    <row r="35" spans="2:34" ht="15" customHeight="1" x14ac:dyDescent="0.2"/>
    <row r="36" spans="2:34" ht="16.5" customHeight="1" x14ac:dyDescent="0.2">
      <c r="B36" s="6" t="s">
        <v>39</v>
      </c>
      <c r="C36" s="6"/>
      <c r="D36" s="6"/>
      <c r="E36" s="10" t="s">
        <v>4</v>
      </c>
      <c r="F36" s="186" t="str">
        <f>C3</f>
        <v>Peninsula Light Company</v>
      </c>
      <c r="G36" s="187"/>
      <c r="H36" s="188"/>
    </row>
    <row r="37" spans="2:34" ht="15" customHeight="1" x14ac:dyDescent="0.2">
      <c r="E37" s="10" t="s">
        <v>13</v>
      </c>
      <c r="F37" s="189">
        <v>2015</v>
      </c>
      <c r="G37" s="190"/>
      <c r="H37" s="191"/>
    </row>
    <row r="38" spans="2:34" ht="15" customHeight="1" x14ac:dyDescent="0.2">
      <c r="E38" s="10"/>
      <c r="F38" s="45"/>
      <c r="G38" s="9"/>
      <c r="H38" s="9"/>
    </row>
    <row r="39" spans="2:34" s="25" customFormat="1" ht="27" customHeight="1" x14ac:dyDescent="0.25">
      <c r="B39" s="192" t="s">
        <v>105</v>
      </c>
      <c r="C39" s="193"/>
      <c r="D39" s="193"/>
      <c r="E39" s="194"/>
      <c r="F39" s="194"/>
      <c r="G39" s="194"/>
      <c r="H39" s="26"/>
      <c r="AH39" s="1"/>
    </row>
    <row r="40" spans="2:34" ht="15" customHeight="1" x14ac:dyDescent="0.2">
      <c r="E40" s="12"/>
      <c r="F40" s="12"/>
      <c r="G40" s="12"/>
      <c r="H40" s="12"/>
      <c r="I40" s="12"/>
      <c r="J40" s="12"/>
      <c r="K40" s="12"/>
      <c r="L40" s="12"/>
      <c r="M40" s="12"/>
      <c r="N40" s="12"/>
      <c r="P40" s="12"/>
      <c r="Q40" s="12"/>
      <c r="R40" s="12"/>
      <c r="S40" s="12"/>
      <c r="AH40" s="25"/>
    </row>
    <row r="41" spans="2:34" s="7" customFormat="1" ht="12.75" customHeight="1" x14ac:dyDescent="0.2">
      <c r="E41" s="29" t="s">
        <v>14</v>
      </c>
      <c r="F41" s="27" t="s">
        <v>15</v>
      </c>
      <c r="G41" s="27" t="s">
        <v>16</v>
      </c>
      <c r="H41" s="27" t="s">
        <v>17</v>
      </c>
      <c r="I41" s="27" t="s">
        <v>18</v>
      </c>
      <c r="J41" s="27" t="s">
        <v>19</v>
      </c>
      <c r="K41" s="27" t="s">
        <v>20</v>
      </c>
      <c r="L41" s="27" t="s">
        <v>21</v>
      </c>
      <c r="M41" s="28" t="s">
        <v>22</v>
      </c>
      <c r="N41" s="28" t="s">
        <v>66</v>
      </c>
      <c r="O41" s="1"/>
      <c r="AH41" s="1"/>
    </row>
    <row r="42" spans="2:34" s="11" customFormat="1" ht="43.5" customHeight="1" x14ac:dyDescent="0.2">
      <c r="E42" s="23" t="s">
        <v>33</v>
      </c>
      <c r="F42" s="23" t="s">
        <v>24</v>
      </c>
      <c r="G42" s="23" t="s">
        <v>25</v>
      </c>
      <c r="H42" s="23" t="s">
        <v>26</v>
      </c>
      <c r="I42" s="23" t="s">
        <v>27</v>
      </c>
      <c r="J42" s="23" t="s">
        <v>40</v>
      </c>
      <c r="K42" s="23" t="s">
        <v>28</v>
      </c>
      <c r="L42" s="23" t="s">
        <v>29</v>
      </c>
      <c r="M42" s="23" t="s">
        <v>30</v>
      </c>
      <c r="N42" s="23" t="s">
        <v>34</v>
      </c>
      <c r="O42" s="1"/>
      <c r="AH42" s="7"/>
    </row>
    <row r="43" spans="2:34" ht="15" customHeight="1" x14ac:dyDescent="0.2">
      <c r="B43" s="51" t="s">
        <v>35</v>
      </c>
      <c r="C43" s="195" t="s">
        <v>54</v>
      </c>
      <c r="D43" s="195"/>
      <c r="E43" s="21" t="s">
        <v>7</v>
      </c>
      <c r="F43" s="21" t="s">
        <v>7</v>
      </c>
      <c r="G43" s="21" t="s">
        <v>7</v>
      </c>
      <c r="H43" s="21" t="s">
        <v>7</v>
      </c>
      <c r="I43" s="21" t="s">
        <v>7</v>
      </c>
      <c r="J43" s="21" t="s">
        <v>7</v>
      </c>
      <c r="K43" s="21" t="s">
        <v>7</v>
      </c>
      <c r="L43" s="21" t="s">
        <v>7</v>
      </c>
      <c r="M43" s="21" t="s">
        <v>7</v>
      </c>
      <c r="N43" s="21" t="s">
        <v>56</v>
      </c>
      <c r="AH43" s="11"/>
    </row>
    <row r="44" spans="2:34" ht="15" customHeight="1" x14ac:dyDescent="0.2">
      <c r="B44" s="126"/>
      <c r="C44" s="127"/>
      <c r="D44" s="127"/>
      <c r="E44" s="128"/>
      <c r="F44" s="123"/>
      <c r="G44" s="123"/>
      <c r="H44" s="123"/>
      <c r="I44" s="123"/>
      <c r="J44" s="123"/>
      <c r="K44" s="123"/>
      <c r="L44" s="123"/>
      <c r="M44" s="123"/>
      <c r="N44" s="123"/>
    </row>
    <row r="45" spans="2:34" ht="15" customHeight="1" x14ac:dyDescent="0.2">
      <c r="B45" s="129"/>
      <c r="C45" s="130"/>
      <c r="D45" s="130"/>
      <c r="E45" s="131"/>
      <c r="F45" s="132"/>
      <c r="G45" s="132"/>
      <c r="H45" s="132"/>
      <c r="I45" s="132"/>
      <c r="J45" s="132"/>
      <c r="K45" s="132"/>
      <c r="L45" s="132"/>
      <c r="M45" s="132"/>
      <c r="N45" s="132"/>
    </row>
    <row r="46" spans="2:34" ht="15" customHeight="1" x14ac:dyDescent="0.2">
      <c r="B46" s="129"/>
      <c r="C46" s="130"/>
      <c r="D46" s="130"/>
      <c r="E46" s="131"/>
      <c r="F46" s="132"/>
      <c r="G46" s="132"/>
      <c r="H46" s="132"/>
      <c r="I46" s="132"/>
      <c r="J46" s="132"/>
      <c r="K46" s="132"/>
      <c r="L46" s="132"/>
      <c r="M46" s="132"/>
      <c r="N46" s="132"/>
    </row>
    <row r="47" spans="2:34" ht="15" customHeight="1" x14ac:dyDescent="0.2">
      <c r="B47" s="133"/>
      <c r="C47" s="134"/>
      <c r="D47" s="134"/>
      <c r="E47" s="131"/>
      <c r="F47" s="132"/>
      <c r="G47" s="132"/>
      <c r="H47" s="132"/>
      <c r="I47" s="132"/>
      <c r="J47" s="132"/>
      <c r="K47" s="132"/>
      <c r="L47" s="132"/>
      <c r="M47" s="132"/>
      <c r="N47" s="132"/>
    </row>
    <row r="48" spans="2:34" ht="15" customHeight="1" x14ac:dyDescent="0.2">
      <c r="B48" s="135"/>
      <c r="C48" s="136"/>
      <c r="D48" s="136"/>
      <c r="E48" s="131"/>
      <c r="F48" s="132"/>
      <c r="G48" s="132"/>
      <c r="H48" s="132"/>
      <c r="I48" s="132"/>
      <c r="J48" s="132"/>
      <c r="K48" s="132"/>
      <c r="L48" s="132"/>
      <c r="M48" s="132"/>
      <c r="N48" s="132"/>
    </row>
    <row r="49" spans="2:14" ht="15" customHeight="1" x14ac:dyDescent="0.2">
      <c r="B49" s="120"/>
      <c r="C49" s="137"/>
      <c r="D49" s="137"/>
      <c r="E49" s="131"/>
      <c r="F49" s="132"/>
      <c r="G49" s="132"/>
      <c r="H49" s="132"/>
      <c r="I49" s="132"/>
      <c r="J49" s="132"/>
      <c r="K49" s="132"/>
      <c r="L49" s="132"/>
      <c r="M49" s="132"/>
      <c r="N49" s="132"/>
    </row>
    <row r="50" spans="2:14" ht="15" customHeight="1" x14ac:dyDescent="0.2">
      <c r="B50" s="120"/>
      <c r="C50" s="137"/>
      <c r="D50" s="137"/>
      <c r="E50" s="131"/>
      <c r="F50" s="132"/>
      <c r="G50" s="132"/>
      <c r="H50" s="132"/>
      <c r="I50" s="132"/>
      <c r="J50" s="132"/>
      <c r="K50" s="132"/>
      <c r="L50" s="132"/>
      <c r="M50" s="132"/>
      <c r="N50" s="132"/>
    </row>
    <row r="51" spans="2:14" ht="15" customHeight="1" x14ac:dyDescent="0.2">
      <c r="B51" s="120"/>
      <c r="C51" s="137"/>
      <c r="D51" s="137"/>
      <c r="E51" s="131"/>
      <c r="F51" s="132"/>
      <c r="G51" s="132"/>
      <c r="H51" s="132"/>
      <c r="I51" s="132"/>
      <c r="J51" s="132"/>
      <c r="K51" s="132"/>
      <c r="L51" s="132"/>
      <c r="M51" s="132"/>
      <c r="N51" s="132"/>
    </row>
    <row r="52" spans="2:14" ht="15" customHeight="1" x14ac:dyDescent="0.2">
      <c r="B52" s="120"/>
      <c r="C52" s="137"/>
      <c r="D52" s="137"/>
      <c r="E52" s="131"/>
      <c r="F52" s="132"/>
      <c r="G52" s="132"/>
      <c r="H52" s="132"/>
      <c r="I52" s="132"/>
      <c r="J52" s="132"/>
      <c r="K52" s="132"/>
      <c r="L52" s="132"/>
      <c r="M52" s="132"/>
      <c r="N52" s="132"/>
    </row>
    <row r="53" spans="2:14" ht="15" customHeight="1" x14ac:dyDescent="0.2">
      <c r="B53" s="120"/>
      <c r="C53" s="137"/>
      <c r="D53" s="137"/>
      <c r="E53" s="131"/>
      <c r="F53" s="132"/>
      <c r="G53" s="132"/>
      <c r="H53" s="132"/>
      <c r="I53" s="132"/>
      <c r="J53" s="132"/>
      <c r="K53" s="132"/>
      <c r="L53" s="132"/>
      <c r="M53" s="132"/>
      <c r="N53" s="132"/>
    </row>
    <row r="54" spans="2:14" ht="15" customHeight="1" x14ac:dyDescent="0.2">
      <c r="B54" s="120"/>
      <c r="C54" s="137"/>
      <c r="D54" s="137"/>
      <c r="E54" s="131"/>
      <c r="F54" s="132"/>
      <c r="G54" s="132"/>
      <c r="H54" s="132"/>
      <c r="I54" s="132"/>
      <c r="J54" s="132"/>
      <c r="K54" s="132"/>
      <c r="L54" s="132"/>
      <c r="M54" s="132"/>
      <c r="N54" s="132"/>
    </row>
    <row r="55" spans="2:14" ht="15" customHeight="1" x14ac:dyDescent="0.2">
      <c r="B55" s="120"/>
      <c r="C55" s="137"/>
      <c r="D55" s="137"/>
      <c r="E55" s="131"/>
      <c r="F55" s="132"/>
      <c r="G55" s="132"/>
      <c r="H55" s="132"/>
      <c r="I55" s="132"/>
      <c r="J55" s="132"/>
      <c r="K55" s="132"/>
      <c r="L55" s="132"/>
      <c r="M55" s="132"/>
      <c r="N55" s="132"/>
    </row>
    <row r="56" spans="2:14" ht="15" customHeight="1" x14ac:dyDescent="0.2">
      <c r="B56" s="120"/>
      <c r="C56" s="137"/>
      <c r="D56" s="137"/>
      <c r="E56" s="131"/>
      <c r="F56" s="132"/>
      <c r="G56" s="132"/>
      <c r="H56" s="132"/>
      <c r="I56" s="132"/>
      <c r="J56" s="132"/>
      <c r="K56" s="132"/>
      <c r="L56" s="132"/>
      <c r="M56" s="132"/>
      <c r="N56" s="132"/>
    </row>
    <row r="57" spans="2:14" ht="15" customHeight="1" x14ac:dyDescent="0.2">
      <c r="B57" s="120"/>
      <c r="C57" s="137"/>
      <c r="D57" s="137"/>
      <c r="E57" s="131"/>
      <c r="F57" s="132"/>
      <c r="G57" s="132"/>
      <c r="H57" s="132"/>
      <c r="I57" s="132"/>
      <c r="J57" s="132"/>
      <c r="K57" s="132"/>
      <c r="L57" s="132"/>
      <c r="M57" s="132"/>
      <c r="N57" s="132"/>
    </row>
    <row r="58" spans="2:14" ht="15" customHeight="1" x14ac:dyDescent="0.2">
      <c r="B58" s="120"/>
      <c r="C58" s="137"/>
      <c r="D58" s="137"/>
      <c r="E58" s="131"/>
      <c r="F58" s="132"/>
      <c r="G58" s="132"/>
      <c r="H58" s="132"/>
      <c r="I58" s="132"/>
      <c r="J58" s="132"/>
      <c r="K58" s="132"/>
      <c r="L58" s="132"/>
      <c r="M58" s="132"/>
      <c r="N58" s="132"/>
    </row>
    <row r="59" spans="2:14" ht="15" customHeight="1" x14ac:dyDescent="0.2">
      <c r="B59" s="120"/>
      <c r="C59" s="137"/>
      <c r="D59" s="137"/>
      <c r="E59" s="131"/>
      <c r="F59" s="132"/>
      <c r="G59" s="132"/>
      <c r="H59" s="132"/>
      <c r="I59" s="132"/>
      <c r="J59" s="132"/>
      <c r="K59" s="132"/>
      <c r="L59" s="132"/>
      <c r="M59" s="132"/>
      <c r="N59" s="132"/>
    </row>
    <row r="60" spans="2:14" ht="15" customHeight="1" x14ac:dyDescent="0.2">
      <c r="B60" s="120"/>
      <c r="C60" s="137"/>
      <c r="D60" s="137"/>
      <c r="E60" s="131"/>
      <c r="F60" s="132"/>
      <c r="G60" s="132"/>
      <c r="H60" s="132"/>
      <c r="I60" s="132"/>
      <c r="J60" s="132"/>
      <c r="K60" s="132"/>
      <c r="L60" s="132"/>
      <c r="M60" s="132"/>
      <c r="N60" s="132"/>
    </row>
    <row r="61" spans="2:14" ht="15" customHeight="1" x14ac:dyDescent="0.2">
      <c r="B61" s="120"/>
      <c r="C61" s="137"/>
      <c r="D61" s="137"/>
      <c r="E61" s="131"/>
      <c r="F61" s="132"/>
      <c r="G61" s="132"/>
      <c r="H61" s="132"/>
      <c r="I61" s="132"/>
      <c r="J61" s="132"/>
      <c r="K61" s="132"/>
      <c r="L61" s="132"/>
      <c r="M61" s="132"/>
      <c r="N61" s="132"/>
    </row>
    <row r="62" spans="2:14" ht="15" customHeight="1" x14ac:dyDescent="0.2">
      <c r="B62" s="120"/>
      <c r="C62" s="137"/>
      <c r="D62" s="137"/>
      <c r="E62" s="131"/>
      <c r="F62" s="132"/>
      <c r="G62" s="132"/>
      <c r="H62" s="132"/>
      <c r="I62" s="132"/>
      <c r="J62" s="132"/>
      <c r="K62" s="132"/>
      <c r="L62" s="132"/>
      <c r="M62" s="132"/>
      <c r="N62" s="132"/>
    </row>
    <row r="63" spans="2:14" ht="15" customHeight="1" x14ac:dyDescent="0.2">
      <c r="B63" s="120"/>
      <c r="C63" s="137"/>
      <c r="D63" s="137"/>
      <c r="E63" s="131"/>
      <c r="F63" s="132"/>
      <c r="G63" s="132"/>
      <c r="H63" s="132"/>
      <c r="I63" s="132"/>
      <c r="J63" s="132"/>
      <c r="K63" s="132"/>
      <c r="L63" s="132"/>
      <c r="M63" s="132"/>
      <c r="N63" s="132"/>
    </row>
    <row r="64" spans="2:14" ht="15" customHeight="1" x14ac:dyDescent="0.2">
      <c r="B64" s="138"/>
      <c r="C64" s="139"/>
      <c r="D64" s="139"/>
      <c r="E64" s="140"/>
      <c r="F64" s="124"/>
      <c r="G64" s="124"/>
      <c r="H64" s="124"/>
      <c r="I64" s="124"/>
      <c r="J64" s="124"/>
      <c r="K64" s="124"/>
      <c r="L64" s="124"/>
      <c r="M64" s="124"/>
      <c r="N64" s="124"/>
    </row>
    <row r="65" spans="1:34" ht="15" customHeight="1" x14ac:dyDescent="0.2">
      <c r="E65" s="7"/>
      <c r="F65" s="7"/>
      <c r="G65" s="7"/>
      <c r="H65" s="7"/>
      <c r="I65" s="7"/>
      <c r="J65" s="7"/>
      <c r="K65" s="7"/>
      <c r="L65" s="7"/>
      <c r="M65" s="7"/>
      <c r="N65" s="7"/>
    </row>
    <row r="66" spans="1:34" ht="17.25" customHeight="1" x14ac:dyDescent="0.2">
      <c r="B66" s="6" t="s">
        <v>32</v>
      </c>
      <c r="C66" s="6"/>
      <c r="D66" s="6"/>
      <c r="E66" s="10" t="s">
        <v>4</v>
      </c>
      <c r="F66" s="186" t="str">
        <f>C3</f>
        <v>Peninsula Light Company</v>
      </c>
      <c r="G66" s="187"/>
      <c r="H66" s="188"/>
    </row>
    <row r="67" spans="1:34" ht="15" customHeight="1" x14ac:dyDescent="0.2">
      <c r="E67" s="10" t="s">
        <v>13</v>
      </c>
      <c r="F67" s="189">
        <v>2015</v>
      </c>
      <c r="G67" s="190"/>
      <c r="H67" s="191"/>
    </row>
    <row r="68" spans="1:34" ht="15" customHeight="1" x14ac:dyDescent="0.2">
      <c r="B68" s="10"/>
      <c r="C68" s="10"/>
      <c r="D68" s="10"/>
      <c r="E68" s="8"/>
      <c r="H68" s="22"/>
      <c r="I68" s="7"/>
    </row>
    <row r="69" spans="1:34" s="7" customFormat="1" ht="16.5" customHeight="1" x14ac:dyDescent="0.2">
      <c r="B69" s="6"/>
      <c r="C69" s="6"/>
      <c r="D69" s="6"/>
      <c r="E69" s="29" t="s">
        <v>14</v>
      </c>
      <c r="F69" s="27" t="s">
        <v>15</v>
      </c>
      <c r="G69" s="27" t="s">
        <v>16</v>
      </c>
      <c r="H69" s="27" t="s">
        <v>17</v>
      </c>
      <c r="I69" s="27" t="s">
        <v>18</v>
      </c>
      <c r="J69" s="27" t="s">
        <v>19</v>
      </c>
      <c r="K69" s="27" t="s">
        <v>20</v>
      </c>
      <c r="L69" s="27" t="s">
        <v>21</v>
      </c>
      <c r="M69" s="28" t="s">
        <v>22</v>
      </c>
      <c r="N69" s="28" t="s">
        <v>66</v>
      </c>
      <c r="O69" s="28" t="s">
        <v>67</v>
      </c>
      <c r="AH69" s="1"/>
    </row>
    <row r="70" spans="1:34" s="11" customFormat="1" ht="36" x14ac:dyDescent="0.2">
      <c r="B70" s="10"/>
      <c r="C70" s="10"/>
      <c r="D70" s="10"/>
      <c r="E70" s="23" t="s">
        <v>33</v>
      </c>
      <c r="F70" s="23" t="s">
        <v>24</v>
      </c>
      <c r="G70" s="23" t="s">
        <v>25</v>
      </c>
      <c r="H70" s="23" t="s">
        <v>26</v>
      </c>
      <c r="I70" s="23" t="s">
        <v>27</v>
      </c>
      <c r="J70" s="23" t="s">
        <v>41</v>
      </c>
      <c r="K70" s="23" t="s">
        <v>28</v>
      </c>
      <c r="L70" s="23" t="s">
        <v>29</v>
      </c>
      <c r="M70" s="23" t="s">
        <v>30</v>
      </c>
      <c r="N70" s="23" t="s">
        <v>34</v>
      </c>
      <c r="O70" s="23" t="s">
        <v>31</v>
      </c>
      <c r="AH70" s="7"/>
    </row>
    <row r="71" spans="1:34" ht="15" customHeight="1" x14ac:dyDescent="0.2">
      <c r="B71" s="51" t="s">
        <v>35</v>
      </c>
      <c r="C71" s="33" t="s">
        <v>54</v>
      </c>
      <c r="D71" s="33" t="s">
        <v>55</v>
      </c>
      <c r="E71" s="21" t="s">
        <v>7</v>
      </c>
      <c r="F71" s="21" t="s">
        <v>7</v>
      </c>
      <c r="G71" s="21" t="s">
        <v>7</v>
      </c>
      <c r="H71" s="21" t="s">
        <v>7</v>
      </c>
      <c r="I71" s="21" t="s">
        <v>7</v>
      </c>
      <c r="J71" s="21" t="s">
        <v>7</v>
      </c>
      <c r="K71" s="21" t="s">
        <v>7</v>
      </c>
      <c r="L71" s="21" t="s">
        <v>7</v>
      </c>
      <c r="M71" s="21" t="s">
        <v>7</v>
      </c>
      <c r="N71" s="21" t="s">
        <v>56</v>
      </c>
      <c r="O71" s="21" t="s">
        <v>56</v>
      </c>
      <c r="AH71" s="11"/>
    </row>
    <row r="72" spans="1:34" ht="15" customHeight="1" x14ac:dyDescent="0.2">
      <c r="A72" s="7"/>
      <c r="B72" s="123" t="s">
        <v>200</v>
      </c>
      <c r="C72" s="123" t="s">
        <v>201</v>
      </c>
      <c r="D72" s="156">
        <v>2014</v>
      </c>
      <c r="E72" s="123"/>
      <c r="F72" s="123">
        <v>378</v>
      </c>
      <c r="G72" s="123"/>
      <c r="H72" s="123"/>
      <c r="I72" s="123"/>
      <c r="J72" s="123"/>
      <c r="K72" s="123"/>
      <c r="L72" s="123"/>
      <c r="M72" s="123"/>
      <c r="N72" s="123"/>
      <c r="O72" s="141"/>
    </row>
    <row r="73" spans="1:34" ht="15" customHeight="1" x14ac:dyDescent="0.2">
      <c r="A73" s="7"/>
      <c r="B73" s="132" t="s">
        <v>202</v>
      </c>
      <c r="C73" s="132" t="s">
        <v>203</v>
      </c>
      <c r="D73" s="157">
        <v>2014</v>
      </c>
      <c r="E73" s="132"/>
      <c r="F73" s="132">
        <v>467</v>
      </c>
      <c r="G73" s="132"/>
      <c r="H73" s="132"/>
      <c r="I73" s="132"/>
      <c r="J73" s="132"/>
      <c r="K73" s="132"/>
      <c r="L73" s="132"/>
      <c r="M73" s="132"/>
      <c r="N73" s="132"/>
      <c r="O73" s="142"/>
    </row>
    <row r="74" spans="1:34" ht="15" customHeight="1" x14ac:dyDescent="0.2">
      <c r="A74" s="7"/>
      <c r="B74" s="132" t="s">
        <v>204</v>
      </c>
      <c r="C74" s="132" t="s">
        <v>205</v>
      </c>
      <c r="D74" s="157">
        <v>2014</v>
      </c>
      <c r="E74" s="132"/>
      <c r="F74" s="132">
        <v>1066</v>
      </c>
      <c r="G74" s="132"/>
      <c r="H74" s="132"/>
      <c r="I74" s="132"/>
      <c r="J74" s="132"/>
      <c r="K74" s="132"/>
      <c r="L74" s="132"/>
      <c r="M74" s="132"/>
      <c r="N74" s="132"/>
      <c r="O74" s="142"/>
    </row>
    <row r="75" spans="1:34" ht="15" customHeight="1" x14ac:dyDescent="0.2">
      <c r="A75" s="7"/>
      <c r="B75" s="132" t="s">
        <v>206</v>
      </c>
      <c r="C75" s="132" t="s">
        <v>207</v>
      </c>
      <c r="D75" s="157">
        <v>2014</v>
      </c>
      <c r="E75" s="132"/>
      <c r="F75" s="132">
        <v>440</v>
      </c>
      <c r="G75" s="132"/>
      <c r="H75" s="132"/>
      <c r="I75" s="132"/>
      <c r="J75" s="132"/>
      <c r="K75" s="132"/>
      <c r="L75" s="132"/>
      <c r="M75" s="132"/>
      <c r="N75" s="132"/>
      <c r="O75" s="142"/>
    </row>
    <row r="76" spans="1:34" ht="15" customHeight="1" x14ac:dyDescent="0.2">
      <c r="A76" s="7"/>
      <c r="B76" s="132" t="s">
        <v>208</v>
      </c>
      <c r="C76" s="132" t="s">
        <v>209</v>
      </c>
      <c r="D76" s="157">
        <v>2014</v>
      </c>
      <c r="E76" s="132"/>
      <c r="F76" s="132">
        <v>1591</v>
      </c>
      <c r="G76" s="132"/>
      <c r="H76" s="132"/>
      <c r="I76" s="132"/>
      <c r="J76" s="132"/>
      <c r="K76" s="132"/>
      <c r="L76" s="132"/>
      <c r="M76" s="132"/>
      <c r="N76" s="132"/>
      <c r="O76" s="142"/>
    </row>
    <row r="77" spans="1:34" ht="15" customHeight="1" x14ac:dyDescent="0.2">
      <c r="A77" s="7"/>
      <c r="B77" s="132" t="s">
        <v>210</v>
      </c>
      <c r="C77" s="132" t="s">
        <v>211</v>
      </c>
      <c r="D77" s="157">
        <v>2014</v>
      </c>
      <c r="E77" s="132"/>
      <c r="F77" s="132">
        <v>11098</v>
      </c>
      <c r="G77" s="132"/>
      <c r="H77" s="132"/>
      <c r="I77" s="132"/>
      <c r="J77" s="132"/>
      <c r="K77" s="132"/>
      <c r="L77" s="132"/>
      <c r="M77" s="132"/>
      <c r="N77" s="132">
        <v>2220</v>
      </c>
      <c r="O77" s="142"/>
    </row>
    <row r="78" spans="1:34" ht="15" customHeight="1" x14ac:dyDescent="0.2">
      <c r="A78" s="7"/>
      <c r="B78" s="132"/>
      <c r="C78" s="132"/>
      <c r="D78" s="132"/>
      <c r="E78" s="132"/>
      <c r="F78" s="132"/>
      <c r="G78" s="132"/>
      <c r="H78" s="132"/>
      <c r="I78" s="132"/>
      <c r="J78" s="132"/>
      <c r="K78" s="132"/>
      <c r="L78" s="132"/>
      <c r="M78" s="132"/>
      <c r="N78" s="132"/>
      <c r="O78" s="142"/>
    </row>
    <row r="79" spans="1:34" ht="15" customHeight="1" x14ac:dyDescent="0.2">
      <c r="B79" s="132"/>
      <c r="C79" s="132"/>
      <c r="D79" s="132"/>
      <c r="E79" s="132"/>
      <c r="F79" s="132"/>
      <c r="G79" s="132"/>
      <c r="H79" s="132"/>
      <c r="I79" s="132"/>
      <c r="J79" s="132"/>
      <c r="K79" s="132"/>
      <c r="L79" s="132"/>
      <c r="M79" s="132"/>
      <c r="N79" s="132"/>
      <c r="O79" s="142"/>
    </row>
    <row r="80" spans="1:34" ht="15" customHeight="1" x14ac:dyDescent="0.2">
      <c r="B80" s="132"/>
      <c r="C80" s="132"/>
      <c r="D80" s="132"/>
      <c r="E80" s="132"/>
      <c r="F80" s="132"/>
      <c r="G80" s="132"/>
      <c r="H80" s="132"/>
      <c r="I80" s="132"/>
      <c r="J80" s="132"/>
      <c r="K80" s="132"/>
      <c r="L80" s="132"/>
      <c r="M80" s="132"/>
      <c r="N80" s="132"/>
      <c r="O80" s="142"/>
    </row>
    <row r="81" spans="2:15" ht="15" customHeight="1" x14ac:dyDescent="0.2">
      <c r="B81" s="132"/>
      <c r="C81" s="132"/>
      <c r="D81" s="132"/>
      <c r="E81" s="132"/>
      <c r="F81" s="132"/>
      <c r="G81" s="132"/>
      <c r="H81" s="132"/>
      <c r="I81" s="132"/>
      <c r="J81" s="132"/>
      <c r="K81" s="132"/>
      <c r="L81" s="132"/>
      <c r="M81" s="132"/>
      <c r="N81" s="132"/>
      <c r="O81" s="142"/>
    </row>
    <row r="82" spans="2:15" ht="15" customHeight="1" x14ac:dyDescent="0.2">
      <c r="B82" s="132"/>
      <c r="C82" s="132"/>
      <c r="D82" s="132"/>
      <c r="E82" s="132"/>
      <c r="F82" s="132"/>
      <c r="G82" s="132"/>
      <c r="H82" s="132"/>
      <c r="I82" s="132"/>
      <c r="J82" s="132"/>
      <c r="K82" s="132"/>
      <c r="L82" s="132"/>
      <c r="M82" s="132"/>
      <c r="N82" s="132"/>
      <c r="O82" s="142"/>
    </row>
    <row r="83" spans="2:15" ht="15" customHeight="1" x14ac:dyDescent="0.2">
      <c r="B83" s="132"/>
      <c r="C83" s="132"/>
      <c r="D83" s="132"/>
      <c r="E83" s="132"/>
      <c r="F83" s="132"/>
      <c r="G83" s="132"/>
      <c r="H83" s="132"/>
      <c r="I83" s="132"/>
      <c r="J83" s="132"/>
      <c r="K83" s="132"/>
      <c r="L83" s="132"/>
      <c r="M83" s="132"/>
      <c r="N83" s="132"/>
      <c r="O83" s="142"/>
    </row>
    <row r="84" spans="2:15" ht="15" customHeight="1" x14ac:dyDescent="0.2">
      <c r="B84" s="132"/>
      <c r="C84" s="132"/>
      <c r="D84" s="132"/>
      <c r="E84" s="132"/>
      <c r="F84" s="132"/>
      <c r="G84" s="132"/>
      <c r="H84" s="132"/>
      <c r="I84" s="132"/>
      <c r="J84" s="132"/>
      <c r="K84" s="132"/>
      <c r="L84" s="132"/>
      <c r="M84" s="132"/>
      <c r="N84" s="132"/>
      <c r="O84" s="142"/>
    </row>
    <row r="85" spans="2:15" ht="15" customHeight="1" x14ac:dyDescent="0.2">
      <c r="B85" s="132"/>
      <c r="C85" s="132"/>
      <c r="D85" s="132"/>
      <c r="E85" s="132"/>
      <c r="F85" s="132"/>
      <c r="G85" s="132"/>
      <c r="H85" s="132"/>
      <c r="I85" s="132"/>
      <c r="J85" s="132"/>
      <c r="K85" s="132"/>
      <c r="L85" s="132"/>
      <c r="M85" s="132"/>
      <c r="N85" s="132"/>
      <c r="O85" s="142"/>
    </row>
    <row r="86" spans="2:15" ht="15" customHeight="1" x14ac:dyDescent="0.2">
      <c r="B86" s="132"/>
      <c r="C86" s="132"/>
      <c r="D86" s="132"/>
      <c r="E86" s="132"/>
      <c r="F86" s="132"/>
      <c r="G86" s="132"/>
      <c r="H86" s="132"/>
      <c r="I86" s="132"/>
      <c r="J86" s="132"/>
      <c r="K86" s="132"/>
      <c r="L86" s="132"/>
      <c r="M86" s="132"/>
      <c r="N86" s="132"/>
      <c r="O86" s="142"/>
    </row>
    <row r="87" spans="2:15" ht="15" customHeight="1" x14ac:dyDescent="0.2">
      <c r="B87" s="132"/>
      <c r="C87" s="132"/>
      <c r="D87" s="132"/>
      <c r="E87" s="132"/>
      <c r="F87" s="132"/>
      <c r="G87" s="132"/>
      <c r="H87" s="132"/>
      <c r="I87" s="132"/>
      <c r="J87" s="132"/>
      <c r="K87" s="132"/>
      <c r="L87" s="132"/>
      <c r="M87" s="132"/>
      <c r="N87" s="132"/>
      <c r="O87" s="142"/>
    </row>
    <row r="88" spans="2:15" ht="15" customHeight="1" x14ac:dyDescent="0.2">
      <c r="B88" s="132"/>
      <c r="C88" s="132"/>
      <c r="D88" s="132"/>
      <c r="E88" s="132"/>
      <c r="F88" s="132"/>
      <c r="G88" s="132"/>
      <c r="H88" s="132"/>
      <c r="I88" s="132"/>
      <c r="J88" s="132"/>
      <c r="K88" s="132"/>
      <c r="L88" s="132"/>
      <c r="M88" s="132"/>
      <c r="N88" s="132"/>
      <c r="O88" s="142"/>
    </row>
    <row r="89" spans="2:15" ht="15" customHeight="1" x14ac:dyDescent="0.2">
      <c r="B89" s="132"/>
      <c r="C89" s="132"/>
      <c r="D89" s="132"/>
      <c r="E89" s="132"/>
      <c r="F89" s="132"/>
      <c r="G89" s="132"/>
      <c r="H89" s="132"/>
      <c r="I89" s="132"/>
      <c r="J89" s="132"/>
      <c r="K89" s="132"/>
      <c r="L89" s="132"/>
      <c r="M89" s="132"/>
      <c r="N89" s="132"/>
      <c r="O89" s="142"/>
    </row>
    <row r="90" spans="2:15" ht="15" customHeight="1" x14ac:dyDescent="0.2">
      <c r="B90" s="132"/>
      <c r="C90" s="132"/>
      <c r="D90" s="132"/>
      <c r="E90" s="132"/>
      <c r="F90" s="132"/>
      <c r="G90" s="132"/>
      <c r="H90" s="132"/>
      <c r="I90" s="132"/>
      <c r="J90" s="132"/>
      <c r="K90" s="132"/>
      <c r="L90" s="132"/>
      <c r="M90" s="132"/>
      <c r="N90" s="132"/>
      <c r="O90" s="142"/>
    </row>
    <row r="91" spans="2:15" ht="15" customHeight="1" x14ac:dyDescent="0.2">
      <c r="B91" s="132"/>
      <c r="C91" s="132"/>
      <c r="D91" s="132"/>
      <c r="E91" s="132"/>
      <c r="F91" s="132"/>
      <c r="G91" s="132"/>
      <c r="H91" s="132"/>
      <c r="I91" s="132"/>
      <c r="J91" s="132"/>
      <c r="K91" s="132"/>
      <c r="L91" s="132"/>
      <c r="M91" s="132"/>
      <c r="N91" s="132"/>
      <c r="O91" s="142"/>
    </row>
    <row r="92" spans="2:15" ht="15" customHeight="1" x14ac:dyDescent="0.2">
      <c r="B92" s="132"/>
      <c r="C92" s="132"/>
      <c r="D92" s="132"/>
      <c r="E92" s="132"/>
      <c r="F92" s="132"/>
      <c r="G92" s="132"/>
      <c r="H92" s="132"/>
      <c r="I92" s="132"/>
      <c r="J92" s="132"/>
      <c r="K92" s="132"/>
      <c r="L92" s="132"/>
      <c r="M92" s="132"/>
      <c r="N92" s="132"/>
      <c r="O92" s="142"/>
    </row>
    <row r="93" spans="2:15" ht="15" customHeight="1" x14ac:dyDescent="0.2">
      <c r="B93" s="132"/>
      <c r="C93" s="132"/>
      <c r="D93" s="132"/>
      <c r="E93" s="132"/>
      <c r="F93" s="132"/>
      <c r="G93" s="132"/>
      <c r="H93" s="132"/>
      <c r="I93" s="132"/>
      <c r="J93" s="132"/>
      <c r="K93" s="132"/>
      <c r="L93" s="132"/>
      <c r="M93" s="132"/>
      <c r="N93" s="132"/>
      <c r="O93" s="142"/>
    </row>
    <row r="94" spans="2:15" ht="15" customHeight="1" x14ac:dyDescent="0.2">
      <c r="B94" s="132"/>
      <c r="C94" s="132"/>
      <c r="D94" s="132"/>
      <c r="E94" s="132"/>
      <c r="F94" s="132"/>
      <c r="G94" s="132"/>
      <c r="H94" s="132"/>
      <c r="I94" s="132"/>
      <c r="J94" s="132"/>
      <c r="K94" s="132"/>
      <c r="L94" s="132"/>
      <c r="M94" s="132"/>
      <c r="N94" s="132"/>
      <c r="O94" s="142"/>
    </row>
    <row r="95" spans="2:15" ht="15" customHeight="1" x14ac:dyDescent="0.2">
      <c r="B95" s="132"/>
      <c r="C95" s="132"/>
      <c r="D95" s="132"/>
      <c r="E95" s="132"/>
      <c r="F95" s="132"/>
      <c r="G95" s="132"/>
      <c r="H95" s="132"/>
      <c r="I95" s="132"/>
      <c r="J95" s="132"/>
      <c r="K95" s="132"/>
      <c r="L95" s="132"/>
      <c r="M95" s="132"/>
      <c r="N95" s="132"/>
      <c r="O95" s="142"/>
    </row>
    <row r="96" spans="2:15" ht="15" customHeight="1" x14ac:dyDescent="0.2">
      <c r="B96" s="124"/>
      <c r="C96" s="124"/>
      <c r="D96" s="124"/>
      <c r="E96" s="124"/>
      <c r="F96" s="124"/>
      <c r="G96" s="124"/>
      <c r="H96" s="124"/>
      <c r="I96" s="124"/>
      <c r="J96" s="124"/>
      <c r="K96" s="124"/>
      <c r="L96" s="124"/>
      <c r="M96" s="124"/>
      <c r="N96" s="124"/>
      <c r="O96" s="143"/>
    </row>
    <row r="97" spans="2:34" ht="15" customHeight="1" x14ac:dyDescent="0.2"/>
    <row r="98" spans="2:34" ht="15" customHeight="1" x14ac:dyDescent="0.2">
      <c r="B98" s="11"/>
      <c r="C98" s="11"/>
      <c r="D98" s="11"/>
      <c r="E98" s="10" t="s">
        <v>4</v>
      </c>
      <c r="F98" s="186" t="str">
        <f>C3</f>
        <v>Peninsula Light Company</v>
      </c>
      <c r="G98" s="187"/>
      <c r="H98" s="188"/>
    </row>
    <row r="99" spans="2:34" ht="15" customHeight="1" x14ac:dyDescent="0.2">
      <c r="E99" s="10" t="s">
        <v>47</v>
      </c>
      <c r="F99" s="189">
        <v>2015</v>
      </c>
      <c r="G99" s="190"/>
      <c r="H99" s="191"/>
    </row>
    <row r="100" spans="2:34" ht="15" customHeight="1" x14ac:dyDescent="0.2">
      <c r="B100" s="11" t="s">
        <v>62</v>
      </c>
      <c r="C100" s="11"/>
      <c r="D100" s="11"/>
      <c r="E100" s="10"/>
      <c r="F100" s="45"/>
    </row>
    <row r="101" spans="2:34" ht="15" customHeight="1" x14ac:dyDescent="0.2">
      <c r="B101" s="24"/>
      <c r="C101" s="24"/>
      <c r="D101" s="24"/>
      <c r="E101" s="24"/>
      <c r="F101" s="24"/>
      <c r="G101" s="24"/>
      <c r="H101" s="24"/>
      <c r="I101" s="24"/>
      <c r="J101" s="24"/>
      <c r="K101" s="24"/>
      <c r="L101" s="24"/>
      <c r="M101" s="24"/>
    </row>
    <row r="102" spans="2:34" ht="15" customHeight="1" x14ac:dyDescent="0.2">
      <c r="B102" s="24"/>
      <c r="C102" s="24"/>
      <c r="D102" s="24"/>
      <c r="E102" s="24"/>
      <c r="F102" s="24"/>
      <c r="G102" s="24"/>
      <c r="H102" s="24"/>
      <c r="I102" s="24"/>
      <c r="J102" s="24"/>
      <c r="K102" s="24"/>
      <c r="L102" s="24"/>
      <c r="M102" s="24"/>
    </row>
    <row r="103" spans="2:34" s="7" customFormat="1" ht="15" customHeight="1" x14ac:dyDescent="0.2">
      <c r="B103" s="24"/>
      <c r="C103" s="24"/>
      <c r="D103" s="24"/>
      <c r="E103" s="24"/>
      <c r="F103" s="24"/>
      <c r="G103" s="24"/>
      <c r="H103" s="24"/>
      <c r="I103" s="24"/>
      <c r="J103" s="24"/>
      <c r="K103" s="24"/>
      <c r="L103" s="24"/>
      <c r="M103" s="24"/>
      <c r="AH103" s="1"/>
    </row>
    <row r="104" spans="2:34" s="7" customFormat="1" ht="15" customHeight="1" x14ac:dyDescent="0.2">
      <c r="B104" s="24"/>
      <c r="C104" s="24"/>
      <c r="D104" s="24"/>
      <c r="E104" s="24"/>
      <c r="F104" s="24"/>
      <c r="G104" s="24"/>
      <c r="H104" s="24"/>
      <c r="I104" s="24"/>
      <c r="J104" s="24"/>
      <c r="K104" s="24"/>
      <c r="L104" s="24"/>
      <c r="M104" s="24"/>
    </row>
    <row r="105" spans="2:34" s="7" customFormat="1" x14ac:dyDescent="0.2">
      <c r="B105" s="24"/>
      <c r="C105" s="24"/>
      <c r="D105" s="24"/>
      <c r="E105" s="24"/>
      <c r="F105" s="24"/>
      <c r="G105" s="24"/>
      <c r="H105" s="24"/>
      <c r="I105" s="24"/>
      <c r="J105" s="24"/>
      <c r="K105" s="24"/>
      <c r="L105" s="24"/>
      <c r="M105" s="24"/>
    </row>
    <row r="106" spans="2:34" s="7" customFormat="1" x14ac:dyDescent="0.2">
      <c r="B106" s="24"/>
      <c r="C106" s="24"/>
      <c r="D106" s="24"/>
      <c r="E106" s="24"/>
      <c r="F106" s="24"/>
      <c r="G106" s="24"/>
      <c r="H106" s="24"/>
      <c r="I106" s="24"/>
      <c r="J106" s="24"/>
      <c r="K106" s="24"/>
      <c r="L106" s="24"/>
      <c r="M106" s="24"/>
    </row>
    <row r="107" spans="2:34" s="7" customFormat="1" x14ac:dyDescent="0.2">
      <c r="B107" s="24"/>
      <c r="C107" s="24"/>
      <c r="D107" s="24"/>
      <c r="E107" s="24"/>
      <c r="F107" s="24"/>
      <c r="G107" s="24"/>
      <c r="H107" s="24"/>
      <c r="I107" s="24"/>
      <c r="J107" s="24"/>
      <c r="K107" s="24"/>
      <c r="L107" s="24"/>
      <c r="M107" s="24"/>
    </row>
    <row r="108" spans="2:34" x14ac:dyDescent="0.2">
      <c r="B108" s="24"/>
      <c r="C108" s="24"/>
      <c r="D108" s="24"/>
      <c r="E108" s="24"/>
      <c r="F108" s="24"/>
      <c r="G108" s="24"/>
      <c r="H108" s="24"/>
      <c r="I108" s="24"/>
      <c r="J108" s="24"/>
      <c r="K108" s="24"/>
      <c r="L108" s="24"/>
      <c r="M108" s="24"/>
      <c r="AH108" s="7"/>
    </row>
    <row r="109" spans="2:34" x14ac:dyDescent="0.2">
      <c r="B109" s="24"/>
      <c r="C109" s="24"/>
      <c r="D109" s="24"/>
      <c r="E109" s="24"/>
      <c r="F109" s="24"/>
      <c r="G109" s="24"/>
      <c r="H109" s="24"/>
      <c r="I109" s="24"/>
      <c r="J109" s="24"/>
      <c r="K109" s="24"/>
      <c r="L109" s="24"/>
      <c r="M109" s="24"/>
    </row>
    <row r="110" spans="2:34" x14ac:dyDescent="0.2">
      <c r="B110" s="24"/>
      <c r="C110" s="24"/>
      <c r="D110" s="24"/>
      <c r="E110" s="24"/>
      <c r="F110" s="24"/>
      <c r="G110" s="24"/>
      <c r="H110" s="24"/>
      <c r="I110" s="24"/>
      <c r="J110" s="24"/>
      <c r="K110" s="24"/>
      <c r="L110" s="24"/>
      <c r="M110" s="24"/>
    </row>
    <row r="111" spans="2:34" x14ac:dyDescent="0.2">
      <c r="B111" s="24"/>
      <c r="C111" s="24"/>
      <c r="D111" s="24"/>
      <c r="E111" s="24"/>
      <c r="F111" s="24"/>
      <c r="G111" s="24"/>
      <c r="H111" s="24"/>
      <c r="I111" s="24"/>
      <c r="J111" s="24"/>
      <c r="K111" s="24"/>
      <c r="L111" s="24"/>
      <c r="M111" s="24"/>
    </row>
    <row r="112" spans="2:34" x14ac:dyDescent="0.2">
      <c r="B112" s="24"/>
      <c r="C112" s="24"/>
      <c r="D112" s="24"/>
      <c r="E112" s="24"/>
      <c r="F112" s="24"/>
      <c r="G112" s="24"/>
      <c r="H112" s="24"/>
      <c r="I112" s="24"/>
      <c r="J112" s="24"/>
      <c r="K112" s="24"/>
      <c r="L112" s="24"/>
      <c r="M112" s="24"/>
    </row>
    <row r="113" spans="2:13" x14ac:dyDescent="0.2">
      <c r="B113" s="24"/>
      <c r="C113" s="24"/>
      <c r="D113" s="24"/>
      <c r="E113" s="24"/>
      <c r="F113" s="24"/>
      <c r="G113" s="24"/>
      <c r="H113" s="24"/>
      <c r="I113" s="24"/>
      <c r="J113" s="24"/>
      <c r="K113" s="24"/>
      <c r="L113" s="24"/>
      <c r="M113" s="24"/>
    </row>
    <row r="114" spans="2:13" x14ac:dyDescent="0.2">
      <c r="B114" s="24"/>
      <c r="C114" s="24"/>
      <c r="D114" s="24"/>
      <c r="E114" s="24"/>
      <c r="F114" s="24"/>
      <c r="G114" s="24"/>
      <c r="H114" s="24"/>
      <c r="I114" s="24"/>
      <c r="J114" s="24"/>
      <c r="K114" s="24"/>
      <c r="L114" s="24"/>
      <c r="M114" s="24"/>
    </row>
    <row r="115" spans="2:13" x14ac:dyDescent="0.2">
      <c r="B115" s="2" t="s">
        <v>63</v>
      </c>
      <c r="C115" s="24"/>
      <c r="D115" s="24"/>
      <c r="E115" s="24"/>
      <c r="F115" s="24"/>
      <c r="G115" s="24"/>
      <c r="H115" s="24"/>
      <c r="I115" s="24"/>
      <c r="J115" s="24"/>
      <c r="K115" s="24"/>
      <c r="L115" s="24"/>
      <c r="M115" s="24"/>
    </row>
    <row r="116" spans="2:13" x14ac:dyDescent="0.2">
      <c r="B116" s="24"/>
      <c r="C116" s="24"/>
      <c r="D116" s="24"/>
      <c r="E116" s="24"/>
      <c r="F116" s="24"/>
      <c r="G116" s="24"/>
      <c r="H116" s="24"/>
      <c r="I116" s="24"/>
      <c r="J116" s="24"/>
      <c r="K116" s="24"/>
      <c r="L116" s="24"/>
      <c r="M116" s="24"/>
    </row>
    <row r="117" spans="2:13" x14ac:dyDescent="0.2">
      <c r="B117" s="24"/>
      <c r="C117" s="24"/>
      <c r="D117" s="24"/>
      <c r="E117" s="24"/>
      <c r="F117" s="24"/>
      <c r="G117" s="24"/>
      <c r="H117" s="24"/>
      <c r="I117" s="24"/>
      <c r="J117" s="24"/>
      <c r="K117" s="24"/>
      <c r="L117" s="24"/>
      <c r="M117" s="24"/>
    </row>
    <row r="118" spans="2:13" x14ac:dyDescent="0.2">
      <c r="B118" s="24"/>
      <c r="C118" s="24"/>
      <c r="D118" s="24"/>
      <c r="E118" s="24"/>
      <c r="F118" s="24"/>
      <c r="G118" s="24"/>
      <c r="H118" s="24"/>
      <c r="I118" s="24"/>
      <c r="J118" s="24"/>
      <c r="K118" s="24"/>
      <c r="L118" s="24"/>
      <c r="M118" s="24"/>
    </row>
    <row r="119" spans="2:13" x14ac:dyDescent="0.2">
      <c r="B119" s="24"/>
      <c r="C119" s="24"/>
      <c r="D119" s="24"/>
      <c r="E119" s="24"/>
      <c r="F119" s="24"/>
      <c r="G119" s="24"/>
      <c r="H119" s="24"/>
      <c r="I119" s="24"/>
      <c r="J119" s="24"/>
      <c r="K119" s="24"/>
      <c r="L119" s="24"/>
      <c r="M119" s="24"/>
    </row>
    <row r="120" spans="2:13" x14ac:dyDescent="0.2">
      <c r="B120" s="24"/>
      <c r="C120" s="24"/>
      <c r="D120" s="24"/>
      <c r="E120" s="24"/>
      <c r="F120" s="24"/>
      <c r="G120" s="24"/>
      <c r="H120" s="24"/>
      <c r="I120" s="24"/>
      <c r="J120" s="24"/>
      <c r="K120" s="24"/>
      <c r="L120" s="24"/>
      <c r="M120" s="24"/>
    </row>
    <row r="121" spans="2:13" x14ac:dyDescent="0.2">
      <c r="B121" s="24"/>
      <c r="C121" s="24"/>
      <c r="D121" s="24"/>
      <c r="E121" s="24"/>
      <c r="F121" s="24"/>
      <c r="G121" s="24"/>
      <c r="H121" s="24"/>
      <c r="I121" s="24"/>
      <c r="J121" s="24"/>
      <c r="K121" s="24"/>
      <c r="L121" s="24"/>
      <c r="M121" s="24"/>
    </row>
    <row r="122" spans="2:13" x14ac:dyDescent="0.2">
      <c r="B122" s="24"/>
      <c r="C122" s="24"/>
      <c r="D122" s="24"/>
      <c r="E122" s="24"/>
      <c r="F122" s="24"/>
      <c r="G122" s="24"/>
      <c r="H122" s="24"/>
      <c r="I122" s="24"/>
      <c r="J122" s="24"/>
      <c r="K122" s="24"/>
      <c r="L122" s="24"/>
      <c r="M122" s="24"/>
    </row>
    <row r="123" spans="2:13" x14ac:dyDescent="0.2">
      <c r="B123" s="24"/>
      <c r="C123" s="24"/>
      <c r="D123" s="24"/>
      <c r="E123" s="24"/>
      <c r="F123" s="24"/>
      <c r="G123" s="24"/>
      <c r="H123" s="24"/>
      <c r="I123" s="24"/>
      <c r="J123" s="24"/>
      <c r="K123" s="24"/>
      <c r="L123" s="24"/>
      <c r="M123" s="24"/>
    </row>
    <row r="124" spans="2:13" x14ac:dyDescent="0.2">
      <c r="B124" s="24"/>
      <c r="C124" s="24"/>
      <c r="D124" s="24"/>
      <c r="E124" s="24"/>
      <c r="F124" s="24"/>
      <c r="G124" s="24"/>
      <c r="H124" s="24"/>
      <c r="I124" s="24"/>
      <c r="J124" s="24"/>
      <c r="K124" s="24"/>
      <c r="L124" s="24"/>
      <c r="M124" s="24"/>
    </row>
    <row r="125" spans="2:13" x14ac:dyDescent="0.2">
      <c r="B125" s="24"/>
      <c r="C125" s="24"/>
      <c r="D125" s="24"/>
      <c r="E125" s="24"/>
      <c r="F125" s="24"/>
      <c r="G125" s="24"/>
      <c r="H125" s="24"/>
      <c r="I125" s="24"/>
      <c r="J125" s="24"/>
      <c r="K125" s="24"/>
      <c r="L125" s="24"/>
      <c r="M125" s="24"/>
    </row>
    <row r="126" spans="2:13" x14ac:dyDescent="0.2">
      <c r="B126" s="24"/>
      <c r="C126" s="24"/>
      <c r="D126" s="24"/>
      <c r="E126" s="24"/>
      <c r="F126" s="24"/>
      <c r="G126" s="24"/>
      <c r="H126" s="24"/>
      <c r="I126" s="24"/>
      <c r="J126" s="24"/>
      <c r="K126" s="24"/>
      <c r="L126" s="24"/>
      <c r="M126" s="24"/>
    </row>
    <row r="127" spans="2:13" x14ac:dyDescent="0.2">
      <c r="B127" s="24"/>
      <c r="C127" s="24"/>
      <c r="D127" s="24"/>
      <c r="E127" s="24"/>
      <c r="F127" s="24"/>
      <c r="G127" s="24"/>
      <c r="H127" s="24"/>
      <c r="I127" s="24"/>
      <c r="J127" s="24"/>
      <c r="K127" s="24"/>
      <c r="L127" s="24"/>
      <c r="M127" s="24"/>
    </row>
    <row r="128" spans="2:13" x14ac:dyDescent="0.2">
      <c r="B128" s="24"/>
      <c r="C128" s="24"/>
      <c r="D128" s="24"/>
      <c r="E128" s="24"/>
      <c r="F128" s="24"/>
      <c r="G128" s="24"/>
      <c r="H128" s="24"/>
      <c r="I128" s="24"/>
      <c r="J128" s="24"/>
      <c r="K128" s="24"/>
      <c r="L128" s="24"/>
      <c r="M128" s="24"/>
    </row>
    <row r="129" spans="2:13" x14ac:dyDescent="0.2">
      <c r="B129" s="24"/>
      <c r="C129" s="24"/>
      <c r="D129" s="24"/>
      <c r="E129" s="24"/>
      <c r="F129" s="24"/>
      <c r="G129" s="24"/>
      <c r="H129" s="24"/>
      <c r="I129" s="24"/>
      <c r="J129" s="24"/>
      <c r="K129" s="24"/>
      <c r="L129" s="24"/>
      <c r="M129" s="24"/>
    </row>
    <row r="130" spans="2:13" x14ac:dyDescent="0.2">
      <c r="B130" s="24"/>
      <c r="C130" s="24"/>
      <c r="D130" s="24"/>
      <c r="E130" s="24"/>
      <c r="F130" s="24"/>
      <c r="G130" s="24"/>
      <c r="H130" s="24"/>
      <c r="I130" s="24"/>
      <c r="J130" s="24"/>
      <c r="K130" s="24"/>
      <c r="L130" s="24"/>
      <c r="M130" s="24"/>
    </row>
    <row r="131" spans="2:13" x14ac:dyDescent="0.2">
      <c r="B131" s="24"/>
      <c r="C131" s="24"/>
      <c r="D131" s="24"/>
      <c r="E131" s="24"/>
      <c r="F131" s="24"/>
      <c r="G131" s="24"/>
      <c r="H131" s="24"/>
      <c r="I131" s="24"/>
      <c r="J131" s="24"/>
      <c r="K131" s="24"/>
      <c r="L131" s="24"/>
      <c r="M131" s="24"/>
    </row>
    <row r="132" spans="2:13" x14ac:dyDescent="0.2">
      <c r="B132" s="24"/>
      <c r="C132" s="24"/>
      <c r="D132" s="24"/>
      <c r="E132" s="24"/>
      <c r="F132" s="24"/>
      <c r="G132" s="24"/>
      <c r="H132" s="24"/>
      <c r="I132" s="24"/>
      <c r="J132" s="24"/>
      <c r="K132" s="24"/>
      <c r="L132" s="24"/>
      <c r="M132" s="24"/>
    </row>
    <row r="133" spans="2:13" x14ac:dyDescent="0.2">
      <c r="B133" s="24"/>
      <c r="C133" s="24"/>
      <c r="D133" s="24"/>
      <c r="E133" s="24"/>
      <c r="F133" s="24"/>
      <c r="G133" s="24"/>
      <c r="H133" s="24"/>
      <c r="I133" s="24"/>
      <c r="J133" s="24"/>
      <c r="K133" s="24"/>
      <c r="L133" s="24"/>
      <c r="M133" s="24"/>
    </row>
    <row r="134" spans="2:13" x14ac:dyDescent="0.2">
      <c r="B134" s="24"/>
      <c r="C134" s="24"/>
      <c r="D134" s="24"/>
      <c r="E134" s="24"/>
      <c r="F134" s="24"/>
      <c r="G134" s="24"/>
      <c r="H134" s="24"/>
      <c r="I134" s="24"/>
      <c r="J134" s="24"/>
      <c r="K134" s="24"/>
      <c r="L134" s="24"/>
      <c r="M134" s="24"/>
    </row>
    <row r="135" spans="2:13" x14ac:dyDescent="0.2">
      <c r="B135" s="24"/>
      <c r="C135" s="24"/>
      <c r="D135" s="24"/>
      <c r="E135" s="24"/>
      <c r="F135" s="24"/>
      <c r="G135" s="24"/>
      <c r="H135" s="24"/>
      <c r="I135" s="24"/>
      <c r="J135" s="24"/>
      <c r="K135" s="24"/>
      <c r="L135" s="24"/>
      <c r="M135" s="24"/>
    </row>
    <row r="136" spans="2:13" x14ac:dyDescent="0.2">
      <c r="B136" s="24"/>
      <c r="C136" s="24"/>
      <c r="D136" s="24"/>
      <c r="E136" s="24"/>
      <c r="F136" s="24"/>
      <c r="G136" s="24"/>
      <c r="H136" s="24"/>
      <c r="I136" s="24"/>
      <c r="J136" s="24"/>
      <c r="K136" s="24"/>
      <c r="L136" s="24"/>
      <c r="M136" s="24"/>
    </row>
  </sheetData>
  <mergeCells count="16">
    <mergeCell ref="I14:M14"/>
    <mergeCell ref="F66:H66"/>
    <mergeCell ref="F67:H67"/>
    <mergeCell ref="F98:H98"/>
    <mergeCell ref="F99:H99"/>
    <mergeCell ref="F36:H36"/>
    <mergeCell ref="F37:H37"/>
    <mergeCell ref="B39:G39"/>
    <mergeCell ref="C43:D43"/>
    <mergeCell ref="I2:N2"/>
    <mergeCell ref="G10:N10"/>
    <mergeCell ref="C3:E3"/>
    <mergeCell ref="C4:E4"/>
    <mergeCell ref="C5:E5"/>
    <mergeCell ref="C6:E6"/>
    <mergeCell ref="C7:E7"/>
  </mergeCells>
  <hyperlinks>
    <hyperlink ref="C7" r:id="rId1"/>
  </hyperlinks>
  <pageMargins left="0.7" right="0.7" top="0.75" bottom="0.75" header="0.3" footer="0.3"/>
  <pageSetup scale="68" fitToHeight="0" orientation="landscape" r:id="rId2"/>
  <rowBreaks count="3" manualBreakCount="3">
    <brk id="34" max="12" man="1"/>
    <brk id="64" max="12" man="1"/>
    <brk id="97" max="12" man="1"/>
  </rowBreaks>
  <drawing r:id="rId3"/>
  <legacyDrawing r:id="rId4"/>
  <mc:AlternateContent xmlns:mc="http://schemas.openxmlformats.org/markup-compatibility/2006">
    <mc:Choice Requires="x14">
      <controls>
        <mc:AlternateContent xmlns:mc="http://schemas.openxmlformats.org/markup-compatibility/2006">
          <mc:Choice Requires="x14">
            <control shapeId="5448" r:id="rId5" name="Check Box 328">
              <controlPr defaultSize="0" autoFill="0" autoLine="0" autoPict="0">
                <anchor moveWithCells="1" sizeWithCells="1">
                  <from>
                    <xdr:col>2</xdr:col>
                    <xdr:colOff>19050</xdr:colOff>
                    <xdr:row>8</xdr:row>
                    <xdr:rowOff>9525</xdr:rowOff>
                  </from>
                  <to>
                    <xdr:col>4</xdr:col>
                    <xdr:colOff>571500</xdr:colOff>
                    <xdr:row>9</xdr:row>
                    <xdr:rowOff>19050</xdr:rowOff>
                  </to>
                </anchor>
              </controlPr>
            </control>
          </mc:Choice>
        </mc:AlternateContent>
        <mc:AlternateContent xmlns:mc="http://schemas.openxmlformats.org/markup-compatibility/2006">
          <mc:Choice Requires="x14">
            <control shapeId="5449" r:id="rId6" name="Check Box 329">
              <controlPr defaultSize="0" autoFill="0" autoLine="0" autoPict="0">
                <anchor moveWithCells="1" sizeWithCells="1">
                  <from>
                    <xdr:col>2</xdr:col>
                    <xdr:colOff>19050</xdr:colOff>
                    <xdr:row>9</xdr:row>
                    <xdr:rowOff>28575</xdr:rowOff>
                  </from>
                  <to>
                    <xdr:col>5</xdr:col>
                    <xdr:colOff>0</xdr:colOff>
                    <xdr:row>10</xdr:row>
                    <xdr:rowOff>28575</xdr:rowOff>
                  </to>
                </anchor>
              </controlPr>
            </control>
          </mc:Choice>
        </mc:AlternateContent>
        <mc:AlternateContent xmlns:mc="http://schemas.openxmlformats.org/markup-compatibility/2006">
          <mc:Choice Requires="x14">
            <control shapeId="5450" r:id="rId7" name="Check Box 330">
              <controlPr defaultSize="0" autoFill="0" autoLine="0" autoPict="0">
                <anchor moveWithCells="1" sizeWithCells="1">
                  <from>
                    <xdr:col>2</xdr:col>
                    <xdr:colOff>19050</xdr:colOff>
                    <xdr:row>10</xdr:row>
                    <xdr:rowOff>66675</xdr:rowOff>
                  </from>
                  <to>
                    <xdr:col>5</xdr:col>
                    <xdr:colOff>114300</xdr:colOff>
                    <xdr:row>11</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77"/>
  <sheetViews>
    <sheetView showGridLines="0" view="pageBreakPreview" zoomScaleNormal="100" zoomScaleSheetLayoutView="100" workbookViewId="0">
      <selection activeCell="E79" sqref="E79"/>
    </sheetView>
  </sheetViews>
  <sheetFormatPr defaultColWidth="9.140625" defaultRowHeight="12.75" x14ac:dyDescent="0.2"/>
  <cols>
    <col min="1" max="1" width="2.7109375" style="1" customWidth="1"/>
    <col min="2" max="2" width="36.42578125" style="1" customWidth="1"/>
    <col min="3" max="3" width="10.85546875" style="1" customWidth="1"/>
    <col min="4" max="4" width="10.28515625" style="1" customWidth="1"/>
    <col min="5" max="5" width="14" style="1" customWidth="1"/>
    <col min="6" max="6" width="14.140625" style="1" customWidth="1"/>
    <col min="7" max="9" width="10.7109375" style="1" customWidth="1"/>
    <col min="10" max="10" width="15.7109375" style="1" customWidth="1"/>
    <col min="11" max="11" width="10.7109375" style="1" customWidth="1"/>
    <col min="12" max="12" width="16.5703125" style="1" customWidth="1"/>
    <col min="13" max="16384" width="9.140625" style="1"/>
  </cols>
  <sheetData>
    <row r="1" spans="2:12" s="7" customFormat="1" ht="19.5" x14ac:dyDescent="0.4">
      <c r="B1" s="48" t="s">
        <v>166</v>
      </c>
      <c r="C1" s="48"/>
      <c r="D1" s="48"/>
    </row>
    <row r="2" spans="2:12" ht="15" customHeight="1" x14ac:dyDescent="0.2"/>
    <row r="3" spans="2:12" ht="16.5" customHeight="1" x14ac:dyDescent="0.25">
      <c r="B3" s="150" t="s">
        <v>167</v>
      </c>
      <c r="C3" s="6"/>
      <c r="D3" s="6"/>
      <c r="E3" s="10" t="s">
        <v>4</v>
      </c>
      <c r="F3" s="186" t="str">
        <f>'Renewables Report'!$C$3</f>
        <v>Peninsula Light Company</v>
      </c>
      <c r="G3" s="187"/>
      <c r="H3" s="188"/>
    </row>
    <row r="4" spans="2:12" ht="15" customHeight="1" x14ac:dyDescent="0.2">
      <c r="E4" s="10" t="s">
        <v>13</v>
      </c>
      <c r="F4" s="199">
        <v>2015</v>
      </c>
      <c r="G4" s="200"/>
      <c r="H4" s="201"/>
    </row>
    <row r="5" spans="2:12" ht="15" customHeight="1" x14ac:dyDescent="0.2">
      <c r="E5" s="10"/>
      <c r="F5" s="86"/>
      <c r="G5" s="9"/>
      <c r="H5" s="9"/>
    </row>
    <row r="6" spans="2:12" ht="48" x14ac:dyDescent="0.2">
      <c r="B6" s="51" t="s">
        <v>35</v>
      </c>
      <c r="C6" s="91" t="s">
        <v>54</v>
      </c>
      <c r="D6" s="109" t="s">
        <v>7</v>
      </c>
      <c r="E6" s="104" t="s">
        <v>147</v>
      </c>
      <c r="F6" s="104" t="s">
        <v>149</v>
      </c>
      <c r="G6" s="205" t="s">
        <v>146</v>
      </c>
      <c r="H6" s="205"/>
      <c r="I6" s="205"/>
      <c r="J6" s="104" t="s">
        <v>148</v>
      </c>
      <c r="K6" s="104" t="s">
        <v>150</v>
      </c>
      <c r="L6" s="104" t="s">
        <v>151</v>
      </c>
    </row>
    <row r="7" spans="2:12" ht="15" customHeight="1" x14ac:dyDescent="0.2">
      <c r="B7" s="92">
        <f>'Renewables Report'!B44</f>
        <v>0</v>
      </c>
      <c r="C7" s="93">
        <f>'Renewables Report'!C44</f>
        <v>0</v>
      </c>
      <c r="D7" s="94">
        <f>SUM('Renewables Report'!E44:M44)</f>
        <v>0</v>
      </c>
      <c r="E7" s="144"/>
      <c r="F7" s="98" t="str">
        <f>IF(D7&gt;0,E7/D7,"")</f>
        <v/>
      </c>
      <c r="G7" s="206"/>
      <c r="H7" s="207"/>
      <c r="I7" s="208"/>
      <c r="J7" s="144"/>
      <c r="K7" s="98" t="str">
        <f>IF(D7&gt;0,J7/D7,"")</f>
        <v/>
      </c>
      <c r="L7" s="98">
        <f>MAX(0,E7-J7)</f>
        <v>0</v>
      </c>
    </row>
    <row r="8" spans="2:12" ht="15" customHeight="1" x14ac:dyDescent="0.2">
      <c r="B8" s="95">
        <f>'Renewables Report'!B45</f>
        <v>0</v>
      </c>
      <c r="C8" s="96">
        <f>'Renewables Report'!C45</f>
        <v>0</v>
      </c>
      <c r="D8" s="97">
        <f>SUM('Renewables Report'!E45:M45)</f>
        <v>0</v>
      </c>
      <c r="E8" s="145"/>
      <c r="F8" s="99" t="str">
        <f t="shared" ref="F8:F27" si="0">IF(D8&gt;0,E8/D8,"")</f>
        <v/>
      </c>
      <c r="G8" s="196"/>
      <c r="H8" s="197"/>
      <c r="I8" s="198"/>
      <c r="J8" s="145"/>
      <c r="K8" s="99" t="str">
        <f t="shared" ref="K8:K27" si="1">IF(D8&gt;0,J8/D8,"")</f>
        <v/>
      </c>
      <c r="L8" s="99">
        <f t="shared" ref="L8:L27" si="2">MAX(0,E8-J8)</f>
        <v>0</v>
      </c>
    </row>
    <row r="9" spans="2:12" ht="15" customHeight="1" x14ac:dyDescent="0.2">
      <c r="B9" s="95">
        <f>'Renewables Report'!B46</f>
        <v>0</v>
      </c>
      <c r="C9" s="96">
        <f>'Renewables Report'!C46</f>
        <v>0</v>
      </c>
      <c r="D9" s="97">
        <f>SUM('Renewables Report'!E46:M46)</f>
        <v>0</v>
      </c>
      <c r="E9" s="145"/>
      <c r="F9" s="99" t="str">
        <f t="shared" si="0"/>
        <v/>
      </c>
      <c r="G9" s="196"/>
      <c r="H9" s="197"/>
      <c r="I9" s="198"/>
      <c r="J9" s="145"/>
      <c r="K9" s="99" t="str">
        <f t="shared" si="1"/>
        <v/>
      </c>
      <c r="L9" s="99">
        <f t="shared" si="2"/>
        <v>0</v>
      </c>
    </row>
    <row r="10" spans="2:12" ht="15" customHeight="1" x14ac:dyDescent="0.2">
      <c r="B10" s="95">
        <f>'Renewables Report'!B47</f>
        <v>0</v>
      </c>
      <c r="C10" s="96">
        <f>'Renewables Report'!C47</f>
        <v>0</v>
      </c>
      <c r="D10" s="97">
        <f>SUM('Renewables Report'!E47:M47)</f>
        <v>0</v>
      </c>
      <c r="E10" s="145"/>
      <c r="F10" s="99" t="str">
        <f t="shared" si="0"/>
        <v/>
      </c>
      <c r="G10" s="196"/>
      <c r="H10" s="197"/>
      <c r="I10" s="198"/>
      <c r="J10" s="145"/>
      <c r="K10" s="99" t="str">
        <f t="shared" si="1"/>
        <v/>
      </c>
      <c r="L10" s="99">
        <f t="shared" si="2"/>
        <v>0</v>
      </c>
    </row>
    <row r="11" spans="2:12" ht="15" customHeight="1" x14ac:dyDescent="0.2">
      <c r="B11" s="95">
        <f>'Renewables Report'!B48</f>
        <v>0</v>
      </c>
      <c r="C11" s="96">
        <f>'Renewables Report'!C48</f>
        <v>0</v>
      </c>
      <c r="D11" s="97">
        <f>SUM('Renewables Report'!E48:M48)</f>
        <v>0</v>
      </c>
      <c r="E11" s="145"/>
      <c r="F11" s="99" t="str">
        <f t="shared" si="0"/>
        <v/>
      </c>
      <c r="G11" s="196"/>
      <c r="H11" s="197"/>
      <c r="I11" s="198"/>
      <c r="J11" s="145"/>
      <c r="K11" s="99" t="str">
        <f t="shared" si="1"/>
        <v/>
      </c>
      <c r="L11" s="99">
        <f t="shared" si="2"/>
        <v>0</v>
      </c>
    </row>
    <row r="12" spans="2:12" ht="15" customHeight="1" x14ac:dyDescent="0.2">
      <c r="B12" s="95">
        <f>'Renewables Report'!B49</f>
        <v>0</v>
      </c>
      <c r="C12" s="96">
        <f>'Renewables Report'!C49</f>
        <v>0</v>
      </c>
      <c r="D12" s="97">
        <f>SUM('Renewables Report'!E49:M49)</f>
        <v>0</v>
      </c>
      <c r="E12" s="145"/>
      <c r="F12" s="99" t="str">
        <f t="shared" si="0"/>
        <v/>
      </c>
      <c r="G12" s="196"/>
      <c r="H12" s="197"/>
      <c r="I12" s="198"/>
      <c r="J12" s="145"/>
      <c r="K12" s="99" t="str">
        <f t="shared" si="1"/>
        <v/>
      </c>
      <c r="L12" s="99">
        <f t="shared" si="2"/>
        <v>0</v>
      </c>
    </row>
    <row r="13" spans="2:12" ht="15" customHeight="1" x14ac:dyDescent="0.2">
      <c r="B13" s="95">
        <f>'Renewables Report'!B50</f>
        <v>0</v>
      </c>
      <c r="C13" s="96">
        <f>'Renewables Report'!C50</f>
        <v>0</v>
      </c>
      <c r="D13" s="97">
        <f>SUM('Renewables Report'!E50:M50)</f>
        <v>0</v>
      </c>
      <c r="E13" s="145"/>
      <c r="F13" s="99" t="str">
        <f t="shared" si="0"/>
        <v/>
      </c>
      <c r="G13" s="196"/>
      <c r="H13" s="197"/>
      <c r="I13" s="198"/>
      <c r="J13" s="145"/>
      <c r="K13" s="99" t="str">
        <f t="shared" si="1"/>
        <v/>
      </c>
      <c r="L13" s="99">
        <f t="shared" si="2"/>
        <v>0</v>
      </c>
    </row>
    <row r="14" spans="2:12" ht="15" customHeight="1" x14ac:dyDescent="0.2">
      <c r="B14" s="95">
        <f>'Renewables Report'!B51</f>
        <v>0</v>
      </c>
      <c r="C14" s="96">
        <f>'Renewables Report'!C51</f>
        <v>0</v>
      </c>
      <c r="D14" s="97">
        <f>SUM('Renewables Report'!E51:M51)</f>
        <v>0</v>
      </c>
      <c r="E14" s="145"/>
      <c r="F14" s="99" t="str">
        <f t="shared" si="0"/>
        <v/>
      </c>
      <c r="G14" s="196"/>
      <c r="H14" s="197"/>
      <c r="I14" s="198"/>
      <c r="J14" s="145"/>
      <c r="K14" s="99" t="str">
        <f t="shared" si="1"/>
        <v/>
      </c>
      <c r="L14" s="99">
        <f t="shared" si="2"/>
        <v>0</v>
      </c>
    </row>
    <row r="15" spans="2:12" ht="15" customHeight="1" x14ac:dyDescent="0.2">
      <c r="B15" s="95">
        <f>'Renewables Report'!B52</f>
        <v>0</v>
      </c>
      <c r="C15" s="96">
        <f>'Renewables Report'!C52</f>
        <v>0</v>
      </c>
      <c r="D15" s="97">
        <f>SUM('Renewables Report'!E52:M52)</f>
        <v>0</v>
      </c>
      <c r="E15" s="145"/>
      <c r="F15" s="99" t="str">
        <f t="shared" si="0"/>
        <v/>
      </c>
      <c r="G15" s="196"/>
      <c r="H15" s="197"/>
      <c r="I15" s="198"/>
      <c r="J15" s="145"/>
      <c r="K15" s="99" t="str">
        <f t="shared" si="1"/>
        <v/>
      </c>
      <c r="L15" s="99">
        <f t="shared" si="2"/>
        <v>0</v>
      </c>
    </row>
    <row r="16" spans="2:12" ht="15" customHeight="1" x14ac:dyDescent="0.2">
      <c r="B16" s="95">
        <f>'Renewables Report'!B53</f>
        <v>0</v>
      </c>
      <c r="C16" s="96">
        <f>'Renewables Report'!C53</f>
        <v>0</v>
      </c>
      <c r="D16" s="97">
        <f>SUM('Renewables Report'!E53:M53)</f>
        <v>0</v>
      </c>
      <c r="E16" s="145"/>
      <c r="F16" s="99" t="str">
        <f t="shared" si="0"/>
        <v/>
      </c>
      <c r="G16" s="196"/>
      <c r="H16" s="197"/>
      <c r="I16" s="198"/>
      <c r="J16" s="145"/>
      <c r="K16" s="99" t="str">
        <f t="shared" si="1"/>
        <v/>
      </c>
      <c r="L16" s="99">
        <f t="shared" si="2"/>
        <v>0</v>
      </c>
    </row>
    <row r="17" spans="2:12" ht="15" customHeight="1" x14ac:dyDescent="0.2">
      <c r="B17" s="95">
        <f>'Renewables Report'!B54</f>
        <v>0</v>
      </c>
      <c r="C17" s="96">
        <f>'Renewables Report'!C54</f>
        <v>0</v>
      </c>
      <c r="D17" s="97">
        <f>SUM('Renewables Report'!E54:M54)</f>
        <v>0</v>
      </c>
      <c r="E17" s="145"/>
      <c r="F17" s="99" t="str">
        <f t="shared" si="0"/>
        <v/>
      </c>
      <c r="G17" s="196"/>
      <c r="H17" s="197"/>
      <c r="I17" s="198"/>
      <c r="J17" s="145"/>
      <c r="K17" s="99" t="str">
        <f t="shared" si="1"/>
        <v/>
      </c>
      <c r="L17" s="99">
        <f t="shared" si="2"/>
        <v>0</v>
      </c>
    </row>
    <row r="18" spans="2:12" ht="15" customHeight="1" x14ac:dyDescent="0.2">
      <c r="B18" s="95">
        <f>'Renewables Report'!B55</f>
        <v>0</v>
      </c>
      <c r="C18" s="96">
        <f>'Renewables Report'!C55</f>
        <v>0</v>
      </c>
      <c r="D18" s="97">
        <f>SUM('Renewables Report'!E55:M55)</f>
        <v>0</v>
      </c>
      <c r="E18" s="145"/>
      <c r="F18" s="99" t="str">
        <f t="shared" si="0"/>
        <v/>
      </c>
      <c r="G18" s="196"/>
      <c r="H18" s="197"/>
      <c r="I18" s="198"/>
      <c r="J18" s="145"/>
      <c r="K18" s="99" t="str">
        <f t="shared" si="1"/>
        <v/>
      </c>
      <c r="L18" s="99">
        <f t="shared" si="2"/>
        <v>0</v>
      </c>
    </row>
    <row r="19" spans="2:12" ht="15" customHeight="1" x14ac:dyDescent="0.2">
      <c r="B19" s="95">
        <f>'Renewables Report'!B56</f>
        <v>0</v>
      </c>
      <c r="C19" s="96">
        <f>'Renewables Report'!C56</f>
        <v>0</v>
      </c>
      <c r="D19" s="97">
        <f>SUM('Renewables Report'!E56:M56)</f>
        <v>0</v>
      </c>
      <c r="E19" s="145"/>
      <c r="F19" s="99" t="str">
        <f t="shared" si="0"/>
        <v/>
      </c>
      <c r="G19" s="196"/>
      <c r="H19" s="197"/>
      <c r="I19" s="198"/>
      <c r="J19" s="145"/>
      <c r="K19" s="99" t="str">
        <f t="shared" si="1"/>
        <v/>
      </c>
      <c r="L19" s="99">
        <f t="shared" si="2"/>
        <v>0</v>
      </c>
    </row>
    <row r="20" spans="2:12" ht="15" customHeight="1" x14ac:dyDescent="0.2">
      <c r="B20" s="95">
        <f>'Renewables Report'!B57</f>
        <v>0</v>
      </c>
      <c r="C20" s="96">
        <f>'Renewables Report'!C57</f>
        <v>0</v>
      </c>
      <c r="D20" s="97">
        <f>SUM('Renewables Report'!E57:M57)</f>
        <v>0</v>
      </c>
      <c r="E20" s="145"/>
      <c r="F20" s="99" t="str">
        <f t="shared" si="0"/>
        <v/>
      </c>
      <c r="G20" s="196"/>
      <c r="H20" s="197"/>
      <c r="I20" s="198"/>
      <c r="J20" s="145"/>
      <c r="K20" s="99" t="str">
        <f t="shared" si="1"/>
        <v/>
      </c>
      <c r="L20" s="99">
        <f t="shared" si="2"/>
        <v>0</v>
      </c>
    </row>
    <row r="21" spans="2:12" ht="15" customHeight="1" x14ac:dyDescent="0.2">
      <c r="B21" s="95">
        <f>'Renewables Report'!B58</f>
        <v>0</v>
      </c>
      <c r="C21" s="96">
        <f>'Renewables Report'!C58</f>
        <v>0</v>
      </c>
      <c r="D21" s="97">
        <f>SUM('Renewables Report'!E58:M58)</f>
        <v>0</v>
      </c>
      <c r="E21" s="145"/>
      <c r="F21" s="99" t="str">
        <f t="shared" si="0"/>
        <v/>
      </c>
      <c r="G21" s="196"/>
      <c r="H21" s="197"/>
      <c r="I21" s="198"/>
      <c r="J21" s="145"/>
      <c r="K21" s="99" t="str">
        <f t="shared" si="1"/>
        <v/>
      </c>
      <c r="L21" s="99">
        <f t="shared" si="2"/>
        <v>0</v>
      </c>
    </row>
    <row r="22" spans="2:12" ht="15" customHeight="1" x14ac:dyDescent="0.2">
      <c r="B22" s="95">
        <f>'Renewables Report'!B59</f>
        <v>0</v>
      </c>
      <c r="C22" s="96">
        <f>'Renewables Report'!C59</f>
        <v>0</v>
      </c>
      <c r="D22" s="97">
        <f>SUM('Renewables Report'!E59:M59)</f>
        <v>0</v>
      </c>
      <c r="E22" s="145"/>
      <c r="F22" s="99" t="str">
        <f t="shared" si="0"/>
        <v/>
      </c>
      <c r="G22" s="196"/>
      <c r="H22" s="197"/>
      <c r="I22" s="198"/>
      <c r="J22" s="145"/>
      <c r="K22" s="99" t="str">
        <f t="shared" si="1"/>
        <v/>
      </c>
      <c r="L22" s="99">
        <f t="shared" si="2"/>
        <v>0</v>
      </c>
    </row>
    <row r="23" spans="2:12" ht="15" customHeight="1" x14ac:dyDescent="0.2">
      <c r="B23" s="95">
        <f>'Renewables Report'!B60</f>
        <v>0</v>
      </c>
      <c r="C23" s="96">
        <f>'Renewables Report'!C60</f>
        <v>0</v>
      </c>
      <c r="D23" s="97">
        <f>SUM('Renewables Report'!E60:M60)</f>
        <v>0</v>
      </c>
      <c r="E23" s="145"/>
      <c r="F23" s="99" t="str">
        <f t="shared" si="0"/>
        <v/>
      </c>
      <c r="G23" s="196"/>
      <c r="H23" s="197"/>
      <c r="I23" s="198"/>
      <c r="J23" s="145"/>
      <c r="K23" s="99" t="str">
        <f t="shared" si="1"/>
        <v/>
      </c>
      <c r="L23" s="99">
        <f t="shared" si="2"/>
        <v>0</v>
      </c>
    </row>
    <row r="24" spans="2:12" ht="15" customHeight="1" x14ac:dyDescent="0.2">
      <c r="B24" s="95">
        <f>'Renewables Report'!B61</f>
        <v>0</v>
      </c>
      <c r="C24" s="96">
        <f>'Renewables Report'!C61</f>
        <v>0</v>
      </c>
      <c r="D24" s="97">
        <f>SUM('Renewables Report'!E61:M61)</f>
        <v>0</v>
      </c>
      <c r="E24" s="145"/>
      <c r="F24" s="99" t="str">
        <f t="shared" si="0"/>
        <v/>
      </c>
      <c r="G24" s="196"/>
      <c r="H24" s="197"/>
      <c r="I24" s="198"/>
      <c r="J24" s="145"/>
      <c r="K24" s="99" t="str">
        <f t="shared" si="1"/>
        <v/>
      </c>
      <c r="L24" s="99">
        <f t="shared" si="2"/>
        <v>0</v>
      </c>
    </row>
    <row r="25" spans="2:12" ht="15" customHeight="1" x14ac:dyDescent="0.2">
      <c r="B25" s="95">
        <f>'Renewables Report'!B62</f>
        <v>0</v>
      </c>
      <c r="C25" s="96">
        <f>'Renewables Report'!C62</f>
        <v>0</v>
      </c>
      <c r="D25" s="97">
        <f>SUM('Renewables Report'!E62:M62)</f>
        <v>0</v>
      </c>
      <c r="E25" s="145"/>
      <c r="F25" s="99" t="str">
        <f t="shared" si="0"/>
        <v/>
      </c>
      <c r="G25" s="196"/>
      <c r="H25" s="197"/>
      <c r="I25" s="198"/>
      <c r="J25" s="145"/>
      <c r="K25" s="99" t="str">
        <f t="shared" si="1"/>
        <v/>
      </c>
      <c r="L25" s="99">
        <f t="shared" si="2"/>
        <v>0</v>
      </c>
    </row>
    <row r="26" spans="2:12" ht="15" customHeight="1" x14ac:dyDescent="0.2">
      <c r="B26" s="95">
        <f>'Renewables Report'!B63</f>
        <v>0</v>
      </c>
      <c r="C26" s="96">
        <f>'Renewables Report'!C63</f>
        <v>0</v>
      </c>
      <c r="D26" s="97">
        <f>SUM('Renewables Report'!E63:M63)</f>
        <v>0</v>
      </c>
      <c r="E26" s="145"/>
      <c r="F26" s="99" t="str">
        <f t="shared" si="0"/>
        <v/>
      </c>
      <c r="G26" s="196"/>
      <c r="H26" s="197"/>
      <c r="I26" s="198"/>
      <c r="J26" s="145"/>
      <c r="K26" s="99" t="str">
        <f t="shared" si="1"/>
        <v/>
      </c>
      <c r="L26" s="99">
        <f t="shared" si="2"/>
        <v>0</v>
      </c>
    </row>
    <row r="27" spans="2:12" ht="15" customHeight="1" x14ac:dyDescent="0.2">
      <c r="B27" s="100">
        <f>'Renewables Report'!B64</f>
        <v>0</v>
      </c>
      <c r="C27" s="101">
        <f>'Renewables Report'!C64</f>
        <v>0</v>
      </c>
      <c r="D27" s="102">
        <f>SUM('Renewables Report'!E64:M64)</f>
        <v>0</v>
      </c>
      <c r="E27" s="146"/>
      <c r="F27" s="103" t="str">
        <f t="shared" si="0"/>
        <v/>
      </c>
      <c r="G27" s="202"/>
      <c r="H27" s="203"/>
      <c r="I27" s="204"/>
      <c r="J27" s="146"/>
      <c r="K27" s="103" t="str">
        <f t="shared" si="1"/>
        <v/>
      </c>
      <c r="L27" s="103">
        <f t="shared" si="2"/>
        <v>0</v>
      </c>
    </row>
    <row r="28" spans="2:12" ht="15" customHeight="1" x14ac:dyDescent="0.2">
      <c r="B28" s="105" t="s">
        <v>152</v>
      </c>
      <c r="C28" s="105"/>
      <c r="D28" s="107">
        <f>SUM(D7:D27)</f>
        <v>0</v>
      </c>
      <c r="E28" s="108">
        <f>SUM(E7:E27)</f>
        <v>0</v>
      </c>
      <c r="F28" s="108"/>
      <c r="G28" s="108"/>
      <c r="H28" s="108"/>
      <c r="I28" s="108"/>
      <c r="J28" s="108">
        <f>SUM(J7:J27)</f>
        <v>0</v>
      </c>
      <c r="K28" s="106"/>
      <c r="L28" s="108">
        <f>SUM(L7:L27)</f>
        <v>0</v>
      </c>
    </row>
    <row r="29" spans="2:12" ht="15" customHeight="1" x14ac:dyDescent="0.2">
      <c r="E29" s="7"/>
      <c r="F29" s="7"/>
      <c r="G29" s="7"/>
      <c r="H29" s="7"/>
      <c r="I29" s="7"/>
      <c r="J29" s="7"/>
      <c r="K29" s="7"/>
      <c r="L29" s="7"/>
    </row>
    <row r="30" spans="2:12" ht="17.25" customHeight="1" x14ac:dyDescent="0.25">
      <c r="B30" s="150" t="s">
        <v>168</v>
      </c>
      <c r="C30" s="116"/>
      <c r="D30" s="6"/>
      <c r="E30" s="10" t="s">
        <v>4</v>
      </c>
      <c r="F30" s="186" t="str">
        <f>F3</f>
        <v>Peninsula Light Company</v>
      </c>
      <c r="G30" s="187"/>
      <c r="H30" s="188"/>
    </row>
    <row r="31" spans="2:12" ht="15" customHeight="1" x14ac:dyDescent="0.2">
      <c r="B31" s="116"/>
      <c r="C31" s="116"/>
      <c r="E31" s="10" t="s">
        <v>13</v>
      </c>
      <c r="F31" s="199">
        <v>2015</v>
      </c>
      <c r="G31" s="200"/>
      <c r="H31" s="201"/>
    </row>
    <row r="32" spans="2:12" ht="15" customHeight="1" x14ac:dyDescent="0.2">
      <c r="B32" s="10"/>
      <c r="C32" s="10"/>
      <c r="D32" s="10"/>
      <c r="E32" s="8"/>
      <c r="H32" s="22"/>
      <c r="I32" s="7"/>
    </row>
    <row r="33" spans="1:12" s="11" customFormat="1" x14ac:dyDescent="0.2">
      <c r="B33" s="10"/>
      <c r="C33" s="10"/>
      <c r="D33" s="10"/>
      <c r="E33" s="23"/>
      <c r="F33" s="23"/>
      <c r="G33" s="23"/>
      <c r="H33" s="23"/>
      <c r="I33" s="23"/>
      <c r="J33" s="23"/>
      <c r="K33" s="23"/>
      <c r="L33" s="23"/>
    </row>
    <row r="34" spans="1:12" ht="36" x14ac:dyDescent="0.2">
      <c r="B34" s="51" t="s">
        <v>35</v>
      </c>
      <c r="C34" s="33" t="s">
        <v>54</v>
      </c>
      <c r="D34" s="51" t="s">
        <v>55</v>
      </c>
      <c r="E34" s="151" t="s">
        <v>194</v>
      </c>
      <c r="F34" s="104" t="s">
        <v>195</v>
      </c>
      <c r="G34" s="104" t="s">
        <v>196</v>
      </c>
    </row>
    <row r="35" spans="1:12" ht="15" customHeight="1" x14ac:dyDescent="0.2">
      <c r="A35" s="7"/>
      <c r="B35" s="92" t="str">
        <f>'Renewables Report'!B72</f>
        <v>Condon Wind Power Project</v>
      </c>
      <c r="C35" s="93" t="str">
        <f>'Renewables Report'!C72</f>
        <v>W774</v>
      </c>
      <c r="D35" s="94">
        <f>'Renewables Report'!D72</f>
        <v>2014</v>
      </c>
      <c r="E35" s="159">
        <f>MAX('Renewables Report'!$F72:$M72)</f>
        <v>378</v>
      </c>
      <c r="F35" s="144"/>
      <c r="G35" s="154">
        <f>IF(E35&gt;0,F35/E35,"")</f>
        <v>0</v>
      </c>
    </row>
    <row r="36" spans="1:12" ht="15" customHeight="1" x14ac:dyDescent="0.2">
      <c r="A36" s="7"/>
      <c r="B36" s="95" t="str">
        <f>'Renewables Report'!B73</f>
        <v>Condon Wind Power Project- Phase II</v>
      </c>
      <c r="C36" s="96" t="str">
        <f>'Renewables Report'!C73</f>
        <v>W833</v>
      </c>
      <c r="D36" s="97">
        <f>'Renewables Report'!D73</f>
        <v>2014</v>
      </c>
      <c r="E36" s="160">
        <f>MAX('Renewables Report'!$F73:$M73)</f>
        <v>467</v>
      </c>
      <c r="F36" s="145"/>
      <c r="G36" s="153">
        <f t="shared" ref="G36:G59" si="3">IF(E36&gt;0,F36/E36,"")</f>
        <v>0</v>
      </c>
    </row>
    <row r="37" spans="1:12" ht="15" customHeight="1" x14ac:dyDescent="0.2">
      <c r="A37" s="7"/>
      <c r="B37" s="95" t="str">
        <f>'Renewables Report'!B74</f>
        <v>Klondike III- Klondike Wind Power III LLC</v>
      </c>
      <c r="C37" s="96" t="str">
        <f>'Renewables Report'!C74</f>
        <v>W237</v>
      </c>
      <c r="D37" s="97">
        <f>'Renewables Report'!D74</f>
        <v>2014</v>
      </c>
      <c r="E37" s="160">
        <f>MAX('Renewables Report'!$F74:$M74)</f>
        <v>1066</v>
      </c>
      <c r="F37" s="145"/>
      <c r="G37" s="153">
        <f t="shared" si="3"/>
        <v>0</v>
      </c>
    </row>
    <row r="38" spans="1:12" ht="15" customHeight="1" x14ac:dyDescent="0.2">
      <c r="A38" s="7"/>
      <c r="B38" s="95" t="str">
        <f>'Renewables Report'!B75</f>
        <v>Klondike I- Klondike Wind Power LLC</v>
      </c>
      <c r="C38" s="96" t="str">
        <f>'Renewables Report'!C75</f>
        <v>W238</v>
      </c>
      <c r="D38" s="97">
        <f>'Renewables Report'!D75</f>
        <v>2014</v>
      </c>
      <c r="E38" s="160">
        <f>MAX('Renewables Report'!$F75:$M75)</f>
        <v>440</v>
      </c>
      <c r="F38" s="145"/>
      <c r="G38" s="153">
        <f t="shared" si="3"/>
        <v>0</v>
      </c>
    </row>
    <row r="39" spans="1:12" ht="15" customHeight="1" x14ac:dyDescent="0.2">
      <c r="A39" s="7"/>
      <c r="B39" s="95" t="str">
        <f>'Renewables Report'!B76</f>
        <v>Stateline(WA)- FPL Energy Vansycle LLC</v>
      </c>
      <c r="C39" s="96" t="str">
        <f>'Renewables Report'!C76</f>
        <v>W248</v>
      </c>
      <c r="D39" s="97">
        <f>'Renewables Report'!D76</f>
        <v>2014</v>
      </c>
      <c r="E39" s="160">
        <f>MAX('Renewables Report'!$F76:$M76)</f>
        <v>1591</v>
      </c>
      <c r="F39" s="145"/>
      <c r="G39" s="153">
        <f t="shared" si="3"/>
        <v>0</v>
      </c>
    </row>
    <row r="40" spans="1:12" ht="15" customHeight="1" x14ac:dyDescent="0.2">
      <c r="A40" s="7"/>
      <c r="B40" s="95" t="str">
        <f>'Renewables Report'!B77</f>
        <v>Harvest Wind</v>
      </c>
      <c r="C40" s="96" t="str">
        <f>'Renewables Report'!C77</f>
        <v>W1306</v>
      </c>
      <c r="D40" s="97">
        <f>'Renewables Report'!D77</f>
        <v>2014</v>
      </c>
      <c r="E40" s="160">
        <f>MAX('Renewables Report'!$F77:$M77)</f>
        <v>11098</v>
      </c>
      <c r="F40" s="161">
        <v>57154.7</v>
      </c>
      <c r="G40" s="158">
        <v>5.15</v>
      </c>
    </row>
    <row r="41" spans="1:12" ht="15" customHeight="1" x14ac:dyDescent="0.2">
      <c r="A41" s="7"/>
      <c r="B41" s="95">
        <f>'Renewables Report'!B78</f>
        <v>0</v>
      </c>
      <c r="C41" s="96">
        <f>'Renewables Report'!C78</f>
        <v>0</v>
      </c>
      <c r="D41" s="97">
        <f>'Renewables Report'!D78</f>
        <v>0</v>
      </c>
      <c r="E41" s="97">
        <f>MAX('Renewables Report'!$E78:$M78)</f>
        <v>0</v>
      </c>
      <c r="F41" s="145"/>
      <c r="G41" s="153" t="str">
        <f t="shared" si="3"/>
        <v/>
      </c>
    </row>
    <row r="42" spans="1:12" ht="15" customHeight="1" x14ac:dyDescent="0.2">
      <c r="B42" s="95">
        <f>'Renewables Report'!B79</f>
        <v>0</v>
      </c>
      <c r="C42" s="96">
        <f>'Renewables Report'!C79</f>
        <v>0</v>
      </c>
      <c r="D42" s="97">
        <f>'Renewables Report'!D79</f>
        <v>0</v>
      </c>
      <c r="E42" s="97">
        <f>MAX('Renewables Report'!$E79:$M79)</f>
        <v>0</v>
      </c>
      <c r="F42" s="145"/>
      <c r="G42" s="153" t="str">
        <f t="shared" si="3"/>
        <v/>
      </c>
    </row>
    <row r="43" spans="1:12" ht="15" customHeight="1" x14ac:dyDescent="0.2">
      <c r="B43" s="95">
        <f>'Renewables Report'!B80</f>
        <v>0</v>
      </c>
      <c r="C43" s="96">
        <f>'Renewables Report'!C80</f>
        <v>0</v>
      </c>
      <c r="D43" s="97">
        <f>'Renewables Report'!D80</f>
        <v>0</v>
      </c>
      <c r="E43" s="97">
        <f>MAX('Renewables Report'!$E80:$M80)</f>
        <v>0</v>
      </c>
      <c r="F43" s="145"/>
      <c r="G43" s="153" t="str">
        <f t="shared" si="3"/>
        <v/>
      </c>
    </row>
    <row r="44" spans="1:12" ht="15" customHeight="1" x14ac:dyDescent="0.2">
      <c r="B44" s="95">
        <f>'Renewables Report'!B81</f>
        <v>0</v>
      </c>
      <c r="C44" s="96">
        <f>'Renewables Report'!C81</f>
        <v>0</v>
      </c>
      <c r="D44" s="97">
        <f>'Renewables Report'!D81</f>
        <v>0</v>
      </c>
      <c r="E44" s="97">
        <f>MAX('Renewables Report'!$E81:$M81)</f>
        <v>0</v>
      </c>
      <c r="F44" s="145"/>
      <c r="G44" s="153" t="str">
        <f t="shared" si="3"/>
        <v/>
      </c>
    </row>
    <row r="45" spans="1:12" ht="15" customHeight="1" x14ac:dyDescent="0.2">
      <c r="B45" s="95">
        <f>'Renewables Report'!B82</f>
        <v>0</v>
      </c>
      <c r="C45" s="96">
        <f>'Renewables Report'!C82</f>
        <v>0</v>
      </c>
      <c r="D45" s="97">
        <f>'Renewables Report'!D82</f>
        <v>0</v>
      </c>
      <c r="E45" s="97">
        <f>MAX('Renewables Report'!$E82:$M82)</f>
        <v>0</v>
      </c>
      <c r="F45" s="145"/>
      <c r="G45" s="153" t="str">
        <f t="shared" si="3"/>
        <v/>
      </c>
    </row>
    <row r="46" spans="1:12" ht="15" customHeight="1" x14ac:dyDescent="0.2">
      <c r="B46" s="95">
        <f>'Renewables Report'!B83</f>
        <v>0</v>
      </c>
      <c r="C46" s="96">
        <f>'Renewables Report'!C83</f>
        <v>0</v>
      </c>
      <c r="D46" s="97">
        <f>'Renewables Report'!D83</f>
        <v>0</v>
      </c>
      <c r="E46" s="97">
        <f>MAX('Renewables Report'!$E83:$M83)</f>
        <v>0</v>
      </c>
      <c r="F46" s="145"/>
      <c r="G46" s="153" t="str">
        <f t="shared" si="3"/>
        <v/>
      </c>
    </row>
    <row r="47" spans="1:12" ht="15" customHeight="1" x14ac:dyDescent="0.2">
      <c r="B47" s="95">
        <f>'Renewables Report'!B84</f>
        <v>0</v>
      </c>
      <c r="C47" s="96">
        <f>'Renewables Report'!C84</f>
        <v>0</v>
      </c>
      <c r="D47" s="97">
        <f>'Renewables Report'!D84</f>
        <v>0</v>
      </c>
      <c r="E47" s="97">
        <f>MAX('Renewables Report'!$E84:$M84)</f>
        <v>0</v>
      </c>
      <c r="F47" s="145"/>
      <c r="G47" s="153" t="str">
        <f t="shared" si="3"/>
        <v/>
      </c>
    </row>
    <row r="48" spans="1:12" ht="15" customHeight="1" x14ac:dyDescent="0.2">
      <c r="B48" s="95">
        <f>'Renewables Report'!B85</f>
        <v>0</v>
      </c>
      <c r="C48" s="96">
        <f>'Renewables Report'!C85</f>
        <v>0</v>
      </c>
      <c r="D48" s="97">
        <f>'Renewables Report'!D85</f>
        <v>0</v>
      </c>
      <c r="E48" s="97">
        <f>MAX('Renewables Report'!$E85:$M85)</f>
        <v>0</v>
      </c>
      <c r="F48" s="145"/>
      <c r="G48" s="153" t="str">
        <f t="shared" si="3"/>
        <v/>
      </c>
    </row>
    <row r="49" spans="2:12" ht="15" customHeight="1" x14ac:dyDescent="0.2">
      <c r="B49" s="95">
        <f>'Renewables Report'!B86</f>
        <v>0</v>
      </c>
      <c r="C49" s="96">
        <f>'Renewables Report'!C86</f>
        <v>0</v>
      </c>
      <c r="D49" s="97">
        <f>'Renewables Report'!D86</f>
        <v>0</v>
      </c>
      <c r="E49" s="97">
        <f>MAX('Renewables Report'!$E86:$M86)</f>
        <v>0</v>
      </c>
      <c r="F49" s="145"/>
      <c r="G49" s="153" t="str">
        <f t="shared" si="3"/>
        <v/>
      </c>
    </row>
    <row r="50" spans="2:12" ht="15" customHeight="1" x14ac:dyDescent="0.2">
      <c r="B50" s="95">
        <f>'Renewables Report'!B87</f>
        <v>0</v>
      </c>
      <c r="C50" s="96">
        <f>'Renewables Report'!C87</f>
        <v>0</v>
      </c>
      <c r="D50" s="97">
        <f>'Renewables Report'!D87</f>
        <v>0</v>
      </c>
      <c r="E50" s="97">
        <f>MAX('Renewables Report'!$E87:$M87)</f>
        <v>0</v>
      </c>
      <c r="F50" s="145"/>
      <c r="G50" s="153" t="str">
        <f t="shared" si="3"/>
        <v/>
      </c>
    </row>
    <row r="51" spans="2:12" ht="15" customHeight="1" x14ac:dyDescent="0.2">
      <c r="B51" s="95">
        <f>'Renewables Report'!B88</f>
        <v>0</v>
      </c>
      <c r="C51" s="96">
        <f>'Renewables Report'!C88</f>
        <v>0</v>
      </c>
      <c r="D51" s="97">
        <f>'Renewables Report'!D88</f>
        <v>0</v>
      </c>
      <c r="E51" s="97">
        <f>MAX('Renewables Report'!$E88:$M88)</f>
        <v>0</v>
      </c>
      <c r="F51" s="145"/>
      <c r="G51" s="153" t="str">
        <f t="shared" si="3"/>
        <v/>
      </c>
    </row>
    <row r="52" spans="2:12" ht="15" customHeight="1" x14ac:dyDescent="0.2">
      <c r="B52" s="95">
        <f>'Renewables Report'!B89</f>
        <v>0</v>
      </c>
      <c r="C52" s="96">
        <f>'Renewables Report'!C89</f>
        <v>0</v>
      </c>
      <c r="D52" s="97">
        <f>'Renewables Report'!D89</f>
        <v>0</v>
      </c>
      <c r="E52" s="97">
        <f>MAX('Renewables Report'!$E89:$M89)</f>
        <v>0</v>
      </c>
      <c r="F52" s="145"/>
      <c r="G52" s="153" t="str">
        <f t="shared" si="3"/>
        <v/>
      </c>
    </row>
    <row r="53" spans="2:12" ht="15" customHeight="1" x14ac:dyDescent="0.2">
      <c r="B53" s="95">
        <f>'Renewables Report'!B90</f>
        <v>0</v>
      </c>
      <c r="C53" s="96">
        <f>'Renewables Report'!C90</f>
        <v>0</v>
      </c>
      <c r="D53" s="97">
        <f>'Renewables Report'!D90</f>
        <v>0</v>
      </c>
      <c r="E53" s="97">
        <f>MAX('Renewables Report'!$E90:$M90)</f>
        <v>0</v>
      </c>
      <c r="F53" s="145"/>
      <c r="G53" s="153" t="str">
        <f t="shared" si="3"/>
        <v/>
      </c>
    </row>
    <row r="54" spans="2:12" ht="15" customHeight="1" x14ac:dyDescent="0.2">
      <c r="B54" s="95">
        <f>'Renewables Report'!B91</f>
        <v>0</v>
      </c>
      <c r="C54" s="96">
        <f>'Renewables Report'!C91</f>
        <v>0</v>
      </c>
      <c r="D54" s="97">
        <f>'Renewables Report'!D91</f>
        <v>0</v>
      </c>
      <c r="E54" s="97">
        <f>MAX('Renewables Report'!$E91:$M91)</f>
        <v>0</v>
      </c>
      <c r="F54" s="145"/>
      <c r="G54" s="153" t="str">
        <f t="shared" si="3"/>
        <v/>
      </c>
    </row>
    <row r="55" spans="2:12" ht="15" customHeight="1" x14ac:dyDescent="0.2">
      <c r="B55" s="95">
        <f>'Renewables Report'!B92</f>
        <v>0</v>
      </c>
      <c r="C55" s="96">
        <f>'Renewables Report'!C92</f>
        <v>0</v>
      </c>
      <c r="D55" s="97">
        <f>'Renewables Report'!D92</f>
        <v>0</v>
      </c>
      <c r="E55" s="97">
        <f>MAX('Renewables Report'!$E92:$M92)</f>
        <v>0</v>
      </c>
      <c r="F55" s="145"/>
      <c r="G55" s="153" t="str">
        <f t="shared" si="3"/>
        <v/>
      </c>
    </row>
    <row r="56" spans="2:12" ht="15" customHeight="1" x14ac:dyDescent="0.2">
      <c r="B56" s="95">
        <f>'Renewables Report'!B93</f>
        <v>0</v>
      </c>
      <c r="C56" s="96">
        <f>'Renewables Report'!C93</f>
        <v>0</v>
      </c>
      <c r="D56" s="97">
        <f>'Renewables Report'!D93</f>
        <v>0</v>
      </c>
      <c r="E56" s="97">
        <f>MAX('Renewables Report'!$E93:$M93)</f>
        <v>0</v>
      </c>
      <c r="F56" s="145"/>
      <c r="G56" s="153" t="str">
        <f t="shared" si="3"/>
        <v/>
      </c>
    </row>
    <row r="57" spans="2:12" ht="15" customHeight="1" x14ac:dyDescent="0.2">
      <c r="B57" s="95">
        <f>'Renewables Report'!B94</f>
        <v>0</v>
      </c>
      <c r="C57" s="96">
        <f>'Renewables Report'!C94</f>
        <v>0</v>
      </c>
      <c r="D57" s="97">
        <f>'Renewables Report'!D94</f>
        <v>0</v>
      </c>
      <c r="E57" s="97">
        <f>MAX('Renewables Report'!$E94:$M94)</f>
        <v>0</v>
      </c>
      <c r="F57" s="145"/>
      <c r="G57" s="153" t="str">
        <f t="shared" si="3"/>
        <v/>
      </c>
    </row>
    <row r="58" spans="2:12" ht="15" customHeight="1" x14ac:dyDescent="0.2">
      <c r="B58" s="95">
        <f>'Renewables Report'!B95</f>
        <v>0</v>
      </c>
      <c r="C58" s="96">
        <f>'Renewables Report'!C95</f>
        <v>0</v>
      </c>
      <c r="D58" s="97">
        <f>'Renewables Report'!D95</f>
        <v>0</v>
      </c>
      <c r="E58" s="97">
        <f>MAX('Renewables Report'!$E95:$M95)</f>
        <v>0</v>
      </c>
      <c r="F58" s="145"/>
      <c r="G58" s="153" t="str">
        <f t="shared" si="3"/>
        <v/>
      </c>
    </row>
    <row r="59" spans="2:12" ht="15" customHeight="1" x14ac:dyDescent="0.2">
      <c r="B59" s="100">
        <f>'Renewables Report'!B96</f>
        <v>0</v>
      </c>
      <c r="C59" s="101">
        <f>'Renewables Report'!C96</f>
        <v>0</v>
      </c>
      <c r="D59" s="102">
        <f>'Renewables Report'!D96</f>
        <v>0</v>
      </c>
      <c r="E59" s="102">
        <f>MAX('Renewables Report'!$E96:$M96)</f>
        <v>0</v>
      </c>
      <c r="F59" s="147"/>
      <c r="G59" s="155" t="str">
        <f t="shared" si="3"/>
        <v/>
      </c>
    </row>
    <row r="60" spans="2:12" ht="15" customHeight="1" x14ac:dyDescent="0.2">
      <c r="B60" s="105" t="s">
        <v>6</v>
      </c>
      <c r="C60" s="110"/>
      <c r="D60" s="110"/>
      <c r="E60" s="152"/>
      <c r="F60" s="108">
        <f>SUM(F35:F59)</f>
        <v>57154.7</v>
      </c>
      <c r="G60" s="152"/>
    </row>
    <row r="61" spans="2:12" ht="15" customHeight="1" x14ac:dyDescent="0.2">
      <c r="B61" s="11"/>
      <c r="C61" s="11"/>
      <c r="D61" s="11"/>
      <c r="E61" s="10"/>
    </row>
    <row r="62" spans="2:12" ht="15" customHeight="1" x14ac:dyDescent="0.2">
      <c r="E62" s="10"/>
    </row>
    <row r="63" spans="2:12" ht="15" customHeight="1" x14ac:dyDescent="0.2">
      <c r="B63" s="11" t="s">
        <v>165</v>
      </c>
      <c r="C63" s="11"/>
      <c r="D63" s="11"/>
      <c r="E63" s="10"/>
      <c r="F63" s="86"/>
    </row>
    <row r="64" spans="2:12" ht="15" customHeight="1" x14ac:dyDescent="0.2">
      <c r="B64" s="85"/>
      <c r="C64" s="85"/>
      <c r="D64" s="85"/>
      <c r="E64" s="85"/>
      <c r="F64" s="85"/>
      <c r="G64" s="85"/>
      <c r="H64" s="85"/>
      <c r="I64" s="85"/>
      <c r="J64" s="85"/>
      <c r="K64" s="85"/>
      <c r="L64" s="85"/>
    </row>
    <row r="65" spans="2:12" ht="15" customHeight="1" x14ac:dyDescent="0.2">
      <c r="B65" s="85"/>
      <c r="C65" s="85"/>
      <c r="D65" s="85"/>
      <c r="E65" s="85"/>
      <c r="F65" s="85"/>
      <c r="G65" s="85"/>
      <c r="H65" s="85"/>
      <c r="I65" s="85"/>
      <c r="J65" s="85"/>
      <c r="K65" s="85"/>
      <c r="L65" s="85"/>
    </row>
    <row r="66" spans="2:12" s="7" customFormat="1" ht="15" customHeight="1" x14ac:dyDescent="0.2">
      <c r="B66" s="85"/>
      <c r="C66" s="85"/>
      <c r="D66" s="85"/>
      <c r="E66" s="85"/>
      <c r="F66" s="85"/>
      <c r="G66" s="85"/>
      <c r="H66" s="85"/>
      <c r="I66" s="85"/>
      <c r="J66" s="85"/>
      <c r="K66" s="85"/>
      <c r="L66" s="85"/>
    </row>
    <row r="67" spans="2:12" s="7" customFormat="1" ht="15" customHeight="1" x14ac:dyDescent="0.2">
      <c r="B67" s="85"/>
      <c r="C67" s="85"/>
      <c r="D67" s="85"/>
      <c r="E67" s="85"/>
      <c r="F67" s="85"/>
      <c r="G67" s="85"/>
      <c r="H67" s="85"/>
      <c r="I67" s="85"/>
      <c r="J67" s="85"/>
      <c r="K67" s="85"/>
      <c r="L67" s="85"/>
    </row>
    <row r="68" spans="2:12" s="7" customFormat="1" x14ac:dyDescent="0.2">
      <c r="B68" s="85"/>
      <c r="C68" s="85"/>
      <c r="D68" s="85"/>
      <c r="E68" s="85"/>
      <c r="F68" s="85"/>
      <c r="G68" s="85"/>
      <c r="H68" s="85"/>
      <c r="I68" s="85"/>
      <c r="J68" s="85"/>
      <c r="K68" s="85"/>
      <c r="L68" s="85"/>
    </row>
    <row r="69" spans="2:12" s="7" customFormat="1" x14ac:dyDescent="0.2">
      <c r="B69" s="85"/>
      <c r="C69" s="85"/>
      <c r="D69" s="85"/>
      <c r="E69" s="85"/>
      <c r="F69" s="85"/>
      <c r="G69" s="85"/>
      <c r="H69" s="85"/>
      <c r="I69" s="85"/>
      <c r="J69" s="85"/>
      <c r="K69" s="85"/>
      <c r="L69" s="85"/>
    </row>
    <row r="70" spans="2:12" s="7" customFormat="1" x14ac:dyDescent="0.2">
      <c r="B70" s="85"/>
      <c r="C70" s="85"/>
      <c r="D70" s="85"/>
      <c r="E70" s="85"/>
      <c r="F70" s="85"/>
      <c r="G70" s="85"/>
      <c r="H70" s="85"/>
      <c r="I70" s="85"/>
      <c r="J70" s="85"/>
      <c r="K70" s="85"/>
      <c r="L70" s="85"/>
    </row>
    <row r="71" spans="2:12" x14ac:dyDescent="0.2">
      <c r="B71" s="85"/>
      <c r="C71" s="85"/>
      <c r="D71" s="85"/>
      <c r="E71" s="85"/>
      <c r="F71" s="85"/>
      <c r="G71" s="85"/>
      <c r="H71" s="85"/>
      <c r="I71" s="85"/>
      <c r="J71" s="85"/>
      <c r="K71" s="85"/>
      <c r="L71" s="85"/>
    </row>
    <row r="72" spans="2:12" x14ac:dyDescent="0.2">
      <c r="B72" s="85"/>
      <c r="C72" s="85"/>
      <c r="D72" s="85"/>
      <c r="E72" s="85"/>
      <c r="F72" s="85"/>
      <c r="G72" s="85"/>
      <c r="H72" s="85"/>
      <c r="I72" s="85"/>
      <c r="J72" s="85"/>
      <c r="K72" s="85"/>
      <c r="L72" s="85"/>
    </row>
    <row r="73" spans="2:12" x14ac:dyDescent="0.2">
      <c r="B73" s="85"/>
      <c r="C73" s="85"/>
      <c r="D73" s="85"/>
      <c r="E73" s="85"/>
      <c r="F73" s="85"/>
      <c r="G73" s="85"/>
      <c r="H73" s="85"/>
      <c r="I73" s="85"/>
      <c r="J73" s="85"/>
      <c r="K73" s="85"/>
      <c r="L73" s="85"/>
    </row>
    <row r="74" spans="2:12" x14ac:dyDescent="0.2">
      <c r="B74" s="85"/>
      <c r="C74" s="85"/>
      <c r="D74" s="85"/>
      <c r="E74" s="85"/>
      <c r="F74" s="85"/>
      <c r="G74" s="85"/>
      <c r="H74" s="85"/>
      <c r="I74" s="85"/>
      <c r="J74" s="85"/>
      <c r="K74" s="85"/>
      <c r="L74" s="85"/>
    </row>
    <row r="75" spans="2:12" x14ac:dyDescent="0.2">
      <c r="B75" s="85"/>
      <c r="C75" s="85"/>
      <c r="D75" s="85"/>
      <c r="E75" s="85"/>
      <c r="F75" s="85"/>
      <c r="G75" s="85"/>
      <c r="H75" s="85"/>
      <c r="I75" s="85"/>
      <c r="J75" s="85"/>
      <c r="K75" s="85"/>
      <c r="L75" s="85"/>
    </row>
    <row r="76" spans="2:12" x14ac:dyDescent="0.2">
      <c r="B76" s="85"/>
      <c r="C76" s="85"/>
      <c r="D76" s="85"/>
      <c r="E76" s="85"/>
      <c r="F76" s="85"/>
      <c r="G76" s="85"/>
      <c r="H76" s="85"/>
      <c r="I76" s="85"/>
      <c r="J76" s="85"/>
      <c r="K76" s="85"/>
      <c r="L76" s="85"/>
    </row>
    <row r="77" spans="2:12" x14ac:dyDescent="0.2">
      <c r="B77" s="85"/>
      <c r="C77" s="85"/>
      <c r="D77" s="85"/>
      <c r="E77" s="85"/>
      <c r="F77" s="85"/>
      <c r="G77" s="85"/>
      <c r="H77" s="85"/>
      <c r="I77" s="85"/>
      <c r="J77" s="85"/>
      <c r="K77" s="85"/>
      <c r="L77" s="85"/>
    </row>
  </sheetData>
  <mergeCells count="26">
    <mergeCell ref="G15:I15"/>
    <mergeCell ref="G16:I16"/>
    <mergeCell ref="G17:I17"/>
    <mergeCell ref="G18:I18"/>
    <mergeCell ref="G19:I19"/>
    <mergeCell ref="G10:I10"/>
    <mergeCell ref="G11:I11"/>
    <mergeCell ref="G12:I12"/>
    <mergeCell ref="G13:I13"/>
    <mergeCell ref="G14:I14"/>
    <mergeCell ref="G20:I20"/>
    <mergeCell ref="F30:H30"/>
    <mergeCell ref="F31:H31"/>
    <mergeCell ref="F3:H3"/>
    <mergeCell ref="F4:H4"/>
    <mergeCell ref="G21:I21"/>
    <mergeCell ref="G22:I22"/>
    <mergeCell ref="G23:I23"/>
    <mergeCell ref="G24:I24"/>
    <mergeCell ref="G25:I25"/>
    <mergeCell ref="G26:I26"/>
    <mergeCell ref="G27:I27"/>
    <mergeCell ref="G6:I6"/>
    <mergeCell ref="G7:I7"/>
    <mergeCell ref="G8:I8"/>
    <mergeCell ref="G9:I9"/>
  </mergeCells>
  <pageMargins left="0.7" right="0.7" top="0.75" bottom="0.75" header="0.3" footer="0.3"/>
  <pageSetup scale="76" fitToHeight="0" orientation="landscape" r:id="rId1"/>
  <rowBreaks count="1" manualBreakCount="1">
    <brk id="28" min="1" max="11"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2"/>
  <sheetViews>
    <sheetView workbookViewId="0">
      <selection activeCell="A2" sqref="A2"/>
    </sheetView>
  </sheetViews>
  <sheetFormatPr defaultRowHeight="15" x14ac:dyDescent="0.25"/>
  <cols>
    <col min="1" max="1" width="36.140625" bestFit="1" customWidth="1"/>
  </cols>
  <sheetData>
    <row r="1" spans="1:83" x14ac:dyDescent="0.25">
      <c r="B1" t="s">
        <v>126</v>
      </c>
      <c r="C1" t="s">
        <v>127</v>
      </c>
      <c r="D1" t="s">
        <v>128</v>
      </c>
      <c r="E1" t="s">
        <v>129</v>
      </c>
      <c r="F1" t="s">
        <v>130</v>
      </c>
      <c r="G1" t="s">
        <v>131</v>
      </c>
      <c r="H1" t="s">
        <v>132</v>
      </c>
      <c r="I1" t="s">
        <v>133</v>
      </c>
      <c r="J1" t="s">
        <v>134</v>
      </c>
      <c r="K1" t="s">
        <v>135</v>
      </c>
      <c r="L1" t="s">
        <v>171</v>
      </c>
      <c r="M1" t="s">
        <v>172</v>
      </c>
      <c r="N1" t="s">
        <v>136</v>
      </c>
      <c r="O1" t="s">
        <v>137</v>
      </c>
      <c r="P1" t="s">
        <v>138</v>
      </c>
      <c r="Q1" t="s">
        <v>139</v>
      </c>
      <c r="R1" t="s">
        <v>140</v>
      </c>
      <c r="S1" t="s">
        <v>141</v>
      </c>
      <c r="T1" t="s">
        <v>142</v>
      </c>
      <c r="U1" t="s">
        <v>143</v>
      </c>
      <c r="V1" t="s">
        <v>144</v>
      </c>
      <c r="W1" t="s">
        <v>145</v>
      </c>
      <c r="X1" t="s">
        <v>68</v>
      </c>
      <c r="Y1" t="s">
        <v>69</v>
      </c>
      <c r="Z1" t="s">
        <v>70</v>
      </c>
      <c r="AA1" t="s">
        <v>77</v>
      </c>
      <c r="AB1" t="s">
        <v>71</v>
      </c>
      <c r="AC1" t="s">
        <v>78</v>
      </c>
      <c r="AD1" t="s">
        <v>72</v>
      </c>
      <c r="AE1" t="s">
        <v>73</v>
      </c>
      <c r="AF1" t="s">
        <v>74</v>
      </c>
      <c r="AG1" t="s">
        <v>79</v>
      </c>
      <c r="AH1" t="s">
        <v>80</v>
      </c>
      <c r="AI1" t="s">
        <v>81</v>
      </c>
      <c r="AJ1" t="s">
        <v>82</v>
      </c>
      <c r="AK1" t="s">
        <v>83</v>
      </c>
      <c r="AL1" t="s">
        <v>84</v>
      </c>
      <c r="AM1" t="s">
        <v>85</v>
      </c>
      <c r="AN1" t="s">
        <v>86</v>
      </c>
      <c r="AO1" t="s">
        <v>87</v>
      </c>
      <c r="AP1" t="s">
        <v>88</v>
      </c>
      <c r="AQ1" t="s">
        <v>173</v>
      </c>
      <c r="AR1" t="s">
        <v>174</v>
      </c>
      <c r="AS1" t="s">
        <v>90</v>
      </c>
      <c r="AT1" t="s">
        <v>175</v>
      </c>
      <c r="AU1" t="s">
        <v>91</v>
      </c>
      <c r="AV1" t="s">
        <v>92</v>
      </c>
      <c r="AW1" t="s">
        <v>93</v>
      </c>
      <c r="AX1" t="s">
        <v>94</v>
      </c>
      <c r="AY1" t="s">
        <v>95</v>
      </c>
      <c r="AZ1" t="s">
        <v>96</v>
      </c>
      <c r="BA1" t="s">
        <v>97</v>
      </c>
      <c r="BB1" t="s">
        <v>98</v>
      </c>
      <c r="BC1" t="s">
        <v>99</v>
      </c>
      <c r="BD1" t="s">
        <v>100</v>
      </c>
      <c r="BE1" t="s">
        <v>177</v>
      </c>
      <c r="BF1" t="s">
        <v>75</v>
      </c>
      <c r="BG1" t="s">
        <v>176</v>
      </c>
      <c r="BH1" t="s">
        <v>76</v>
      </c>
      <c r="BI1" t="s">
        <v>83</v>
      </c>
      <c r="BJ1" t="s">
        <v>84</v>
      </c>
      <c r="BK1" t="s">
        <v>85</v>
      </c>
      <c r="BL1" t="s">
        <v>86</v>
      </c>
      <c r="BM1" t="s">
        <v>87</v>
      </c>
      <c r="BN1" t="s">
        <v>88</v>
      </c>
      <c r="BO1" t="s">
        <v>103</v>
      </c>
      <c r="BP1" t="s">
        <v>104</v>
      </c>
      <c r="BQ1" t="s">
        <v>89</v>
      </c>
      <c r="BR1" t="s">
        <v>90</v>
      </c>
      <c r="BS1" t="s">
        <v>91</v>
      </c>
      <c r="BT1" t="s">
        <v>92</v>
      </c>
      <c r="BU1" t="s">
        <v>93</v>
      </c>
      <c r="BV1" t="s">
        <v>94</v>
      </c>
      <c r="BW1" t="s">
        <v>95</v>
      </c>
      <c r="BX1" t="s">
        <v>96</v>
      </c>
      <c r="BY1" t="s">
        <v>97</v>
      </c>
      <c r="BZ1" t="s">
        <v>98</v>
      </c>
      <c r="CA1" t="s">
        <v>99</v>
      </c>
      <c r="CB1" t="s">
        <v>100</v>
      </c>
      <c r="CC1" t="s">
        <v>75</v>
      </c>
      <c r="CD1" t="s">
        <v>106</v>
      </c>
      <c r="CE1" t="s">
        <v>76</v>
      </c>
    </row>
    <row r="2" spans="1:83" x14ac:dyDescent="0.25">
      <c r="A2" t="str">
        <f>REN_Utility_Name</f>
        <v>Peninsula Light Company</v>
      </c>
      <c r="B2">
        <f>CON_2014_Agriculture_Expend</f>
        <v>0</v>
      </c>
      <c r="C2">
        <f>CON_2014_Agriculture_MWH</f>
        <v>0</v>
      </c>
      <c r="D2">
        <f>CON_2014_Commercial_Expend</f>
        <v>161936</v>
      </c>
      <c r="E2">
        <f>CON_2014_Commercial_MWH</f>
        <v>1155.23</v>
      </c>
      <c r="F2">
        <f>CON_2014_Distribution_Expend</f>
        <v>0</v>
      </c>
      <c r="G2">
        <f>CON_2014_Distribution_MWH</f>
        <v>0</v>
      </c>
      <c r="H2">
        <f>CON_2014_Expenditures</f>
        <v>826052</v>
      </c>
      <c r="I2">
        <f>CON_2014_Industrial_Expend</f>
        <v>8070</v>
      </c>
      <c r="J2">
        <f>CON_2014_Industrial_MWH</f>
        <v>59.7</v>
      </c>
      <c r="K2">
        <f>CON_2014_MWH</f>
        <v>6406.16</v>
      </c>
      <c r="L2">
        <f>CON_2014_NEEA_Expend</f>
        <v>0</v>
      </c>
      <c r="M2">
        <f>CON_2014_NEEA_MWH</f>
        <v>2505.36</v>
      </c>
      <c r="N2">
        <f>CON_2014_OtherSector1_Expend</f>
        <v>0</v>
      </c>
      <c r="O2">
        <f>CON_2014_OtherSector1_MWH</f>
        <v>0</v>
      </c>
      <c r="P2">
        <f>CON_2014_OtherSector2_Expend</f>
        <v>0</v>
      </c>
      <c r="Q2">
        <f>CON_2014_OtherSector2_MWH</f>
        <v>0</v>
      </c>
      <c r="R2">
        <f>CON_2014_Production_Expend</f>
        <v>0</v>
      </c>
      <c r="S2">
        <f>CON_2014_Production_MWH</f>
        <v>0</v>
      </c>
      <c r="T2">
        <f>CON_2014_Program1_Expend</f>
        <v>191849</v>
      </c>
      <c r="U2">
        <f>CON_2014_Program2_Expend</f>
        <v>0</v>
      </c>
      <c r="V2">
        <f>CON_2014_Residential_Expend</f>
        <v>464197</v>
      </c>
      <c r="W2">
        <f>CON_2014_Residential_MWH</f>
        <v>2685.87</v>
      </c>
      <c r="X2" t="str">
        <f>CON_Contact_Name</f>
        <v>Sharon Silver / Power Resources</v>
      </c>
      <c r="Y2" t="str">
        <f>CON_Email</f>
        <v>sharons@penlight.org</v>
      </c>
      <c r="Z2" t="str">
        <f>CON_Phone</f>
        <v>253.857.1526</v>
      </c>
      <c r="AA2">
        <f>CON_Potential_2014_2023</f>
        <v>28645</v>
      </c>
      <c r="AB2">
        <f>CON_Report_Date</f>
        <v>42152</v>
      </c>
      <c r="AC2">
        <f>CON_Target_2014_2015</f>
        <v>5729.04</v>
      </c>
      <c r="AD2" t="str">
        <f>CON_Utility_Name</f>
        <v>Peninsula Light Company</v>
      </c>
      <c r="AE2" t="str">
        <f>REN_Contact_Name</f>
        <v>Sharon Silver / Power Resources</v>
      </c>
      <c r="AF2" t="str">
        <f>REN_Email</f>
        <v>sharons@penlight.org</v>
      </c>
      <c r="AG2">
        <f>REN_ERR_ApprenticeLabor</f>
        <v>0</v>
      </c>
      <c r="AH2">
        <f>REN_ERR_Biodiesel</f>
        <v>0</v>
      </c>
      <c r="AI2">
        <f>REN_ERR_Biomass</f>
        <v>0</v>
      </c>
      <c r="AJ2">
        <f>REN_ERR_Geothermal</f>
        <v>0</v>
      </c>
      <c r="AK2">
        <f>REN_ERR_LandfillGas</f>
        <v>0</v>
      </c>
      <c r="AL2">
        <f>REN_ERR_SewageGas</f>
        <v>0</v>
      </c>
      <c r="AM2">
        <f>REN_ERR_Solar</f>
        <v>0</v>
      </c>
      <c r="AN2">
        <f>REN_ERR_Water</f>
        <v>0</v>
      </c>
      <c r="AO2">
        <f>REN_ERR_Wind</f>
        <v>0</v>
      </c>
      <c r="AP2">
        <f>REN_ERR_WOT</f>
        <v>0</v>
      </c>
      <c r="AQ2">
        <f>REN_Expenditure_Amount_2015</f>
        <v>57154.7</v>
      </c>
      <c r="AR2">
        <f>REN_Expenditure_Percent_2015</f>
        <v>1.1144307519065045E-3</v>
      </c>
      <c r="AS2">
        <f>REN_Load_2013</f>
        <v>580598</v>
      </c>
      <c r="AT2">
        <f>REN_Load_2014</f>
        <v>570046</v>
      </c>
      <c r="AU2">
        <f>REN_REC_ApprenticeLabor</f>
        <v>2220</v>
      </c>
      <c r="AV2">
        <f>REN_REC_Biodiesel</f>
        <v>0</v>
      </c>
      <c r="AW2">
        <f>REN_REC_Biomass</f>
        <v>0</v>
      </c>
      <c r="AX2">
        <f>REN_REC_DistributedGeneration</f>
        <v>0</v>
      </c>
      <c r="AY2">
        <f>REN_REC_Geothermal</f>
        <v>0</v>
      </c>
      <c r="AZ2">
        <f>REN_REC_LandfillGas</f>
        <v>0</v>
      </c>
      <c r="BA2">
        <f>REN_REC_SewageGas</f>
        <v>0</v>
      </c>
      <c r="BB2">
        <f>REN_REC_Solar</f>
        <v>0</v>
      </c>
      <c r="BC2">
        <f>REN_REC_Wind</f>
        <v>15040</v>
      </c>
      <c r="BD2">
        <f>REN_REC_WOT</f>
        <v>0</v>
      </c>
      <c r="BE2">
        <f>REN_RetailRevenueRequirement_2015</f>
        <v>51286004</v>
      </c>
      <c r="BF2">
        <f>REN_Submittal_Date</f>
        <v>42152</v>
      </c>
      <c r="BG2">
        <f>REN_Total_2015</f>
        <v>17260</v>
      </c>
      <c r="BH2" t="str">
        <f>REN_Utility_Name</f>
        <v>Peninsula Light Company</v>
      </c>
      <c r="BI2">
        <f>REN_ERR_LandfillGas</f>
        <v>0</v>
      </c>
      <c r="BJ2">
        <f>REN_ERR_SewageGas</f>
        <v>0</v>
      </c>
      <c r="BK2">
        <f>REN_ERR_Solar</f>
        <v>0</v>
      </c>
      <c r="BL2">
        <f>REN_ERR_Water</f>
        <v>0</v>
      </c>
      <c r="BM2">
        <f>REN_ERR_Wind</f>
        <v>0</v>
      </c>
      <c r="BN2">
        <f>REN_ERR_WOT</f>
        <v>0</v>
      </c>
      <c r="BO2">
        <f>REN_Expenditure_Amount_2015</f>
        <v>57154.7</v>
      </c>
      <c r="BP2">
        <f>REN_Expenditure_Percent_2015</f>
        <v>1.1144307519065045E-3</v>
      </c>
      <c r="BQ2">
        <f>REN_Load_2013</f>
        <v>580598</v>
      </c>
      <c r="BR2">
        <f>REN_Load_2014</f>
        <v>570046</v>
      </c>
      <c r="BS2">
        <f>REN_REC_ApprenticeLabor</f>
        <v>2220</v>
      </c>
      <c r="BT2">
        <f>REN_REC_Biodiesel</f>
        <v>0</v>
      </c>
      <c r="BU2">
        <f>REN_REC_Biomass</f>
        <v>0</v>
      </c>
      <c r="BV2">
        <f>REN_REC_DistributedGeneration</f>
        <v>0</v>
      </c>
      <c r="BW2">
        <f>REN_REC_Geothermal</f>
        <v>0</v>
      </c>
      <c r="BX2">
        <f>REN_REC_LandfillGas</f>
        <v>0</v>
      </c>
      <c r="BY2">
        <f>REN_REC_SewageGas</f>
        <v>0</v>
      </c>
      <c r="BZ2">
        <f>REN_REC_Solar</f>
        <v>0</v>
      </c>
      <c r="CA2">
        <f>REN_REC_Wind</f>
        <v>15040</v>
      </c>
      <c r="CB2">
        <f>REN_REC_WOT</f>
        <v>0</v>
      </c>
      <c r="CC2">
        <f>REN_Submittal_Date</f>
        <v>42152</v>
      </c>
      <c r="CD2">
        <f>REN_Total_2015</f>
        <v>17260</v>
      </c>
      <c r="CE2" t="str">
        <f>REN_Utility_Name</f>
        <v>Peninsula Light Company</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37F82A00B46344287D29A2B5774955F" ma:contentTypeVersion="14" ma:contentTypeDescription="Create a new document." ma:contentTypeScope="" ma:versionID="973bd6561572a3005a6b7ab97f1f6e80">
  <xsd:schema xmlns:xsd="http://www.w3.org/2001/XMLSchema" xmlns:xs="http://www.w3.org/2001/XMLSchema" xmlns:p="http://schemas.microsoft.com/office/2006/metadata/properties" xmlns:ns1="http://schemas.microsoft.com/sharepoint/v3" xmlns:ns2="63979cc8-f6b2-4ee6-8bed-630b6048d169" xmlns:ns4="59db5950-9a61-4c09-b3e2-fe6d472fba04" targetNamespace="http://schemas.microsoft.com/office/2006/metadata/properties" ma:root="true" ma:fieldsID="0c769d9437d03691a8a8f58a18ba4cc8" ns1:_="" ns2:_="" ns4:_="">
    <xsd:import namespace="http://schemas.microsoft.com/sharepoint/v3"/>
    <xsd:import namespace="63979cc8-f6b2-4ee6-8bed-630b6048d169"/>
    <xsd:import namespace="59db5950-9a61-4c09-b3e2-fe6d472fba04"/>
    <xsd:element name="properties">
      <xsd:complexType>
        <xsd:sequence>
          <xsd:element name="documentManagement">
            <xsd:complexType>
              <xsd:all>
                <xsd:element ref="ns1:PublishingStartDate" minOccurs="0"/>
                <xsd:element ref="ns1:PublishingExpirationDate" minOccurs="0"/>
                <xsd:element ref="ns2:Program"/>
                <xsd:element ref="ns2:Content_x0020_Type"/>
                <xsd:element ref="ns1:RoutingRuleDescription"/>
                <xsd:element ref="ns4:d599451e10b14aceb47619c4acf6a5e3" minOccurs="0"/>
                <xsd:element ref="ns4:TaxCatchAll" minOccurs="0"/>
                <xsd:element ref="ns2:BusinessUnit" minOccurs="0"/>
                <xsd:element ref="ns2:Year" minOccurs="0"/>
                <xsd:element ref="ns2:Publish" minOccurs="0"/>
                <xsd:element ref="ns2:Topi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element name="RoutingRuleDescription" ma:index="12" ma:displayName="Description" ma:internalName="RoutingRule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3979cc8-f6b2-4ee6-8bed-630b6048d169" elementFormDefault="qualified">
    <xsd:import namespace="http://schemas.microsoft.com/office/2006/documentManagement/types"/>
    <xsd:import namespace="http://schemas.microsoft.com/office/infopath/2007/PartnerControls"/>
    <xsd:element name="Program" ma:index="10" ma:displayName="Theme" ma:format="Dropdown" ma:internalName="Program">
      <xsd:simpleType>
        <xsd:restriction base="dms:Choice">
          <xsd:enumeration value="About Commerce"/>
          <xsd:enumeration value="Business and Economic Development"/>
          <xsd:enumeration value="Community Services and Facilities"/>
          <xsd:enumeration value="Crime Victims and Public Safety"/>
          <xsd:enumeration value="Energy and Technology"/>
          <xsd:enumeration value="Foreclosure Fairness Program"/>
          <xsd:enumeration value="Growth Management"/>
          <xsd:enumeration value="Homeless Programs"/>
          <xsd:enumeration value="Housing and Homeless"/>
          <xsd:enumeration value="Infrastructure and Community Development"/>
          <xsd:enumeration value="Open Grants and Loan Applications"/>
          <xsd:enumeration value="Research Services"/>
          <xsd:enumeration value="Services and Assistance"/>
          <xsd:enumeration value="Reports and Publications"/>
        </xsd:restriction>
      </xsd:simpleType>
    </xsd:element>
    <xsd:element name="Content_x0020_Type" ma:index="11" ma:displayName="Content Type" ma:format="Dropdown" ma:internalName="Content_x0020_Type">
      <xsd:simpleType>
        <xsd:restriction base="dms:Choice">
          <xsd:enumeration value="Grant Application"/>
          <xsd:enumeration value="Loan Application"/>
          <xsd:enumeration value="Report"/>
          <xsd:enumeration value="Form"/>
          <xsd:enumeration value="Training Material"/>
          <xsd:enumeration value="Policy"/>
          <xsd:enumeration value="Presentation"/>
          <xsd:enumeration value="Award Lists"/>
          <xsd:enumeration value="Contract"/>
          <xsd:enumeration value="Project Information"/>
          <xsd:enumeration value="Data"/>
          <xsd:enumeration value="Commerce Solicitation"/>
          <xsd:enumeration value="Loan Application"/>
          <xsd:enumeration value="Public Input Process"/>
          <xsd:enumeration value="Fact Sheet"/>
          <xsd:enumeration value="Financial"/>
        </xsd:restriction>
      </xsd:simpleType>
    </xsd:element>
    <xsd:element name="BusinessUnit" ma:index="17" nillable="true" ma:displayName="Business Unit" ma:internalName="BusinessUnit">
      <xsd:simpleType>
        <xsd:restriction base="dms:Text">
          <xsd:maxLength value="55"/>
        </xsd:restriction>
      </xsd:simpleType>
    </xsd:element>
    <xsd:element name="Year" ma:index="18" nillable="true" ma:displayName="Year" ma:format="Dropdown" ma:internalName="Year">
      <xsd:simpleType>
        <xsd:restriction base="dms:Choice">
          <xsd:enumeration value="2000"/>
          <xsd:enumeration value="2001"/>
          <xsd:enumeration value="2002"/>
          <xsd:enumeration value="2003"/>
          <xsd:enumeration value="2004"/>
          <xsd:enumeration value="2005"/>
          <xsd:enumeration value="2006"/>
          <xsd:enumeration value="2007"/>
          <xsd:enumeration value="2008"/>
          <xsd:enumeration value="2009"/>
          <xsd:enumeration value="2010"/>
          <xsd:enumeration value="2011"/>
          <xsd:enumeration value="2012"/>
          <xsd:enumeration value="2013"/>
          <xsd:enumeration value="2014"/>
          <xsd:enumeration value="2015"/>
        </xsd:restriction>
      </xsd:simpleType>
    </xsd:element>
    <xsd:element name="Publish" ma:index="19" nillable="true" ma:displayName="Publish" ma:format="RadioButtons" ma:internalName="Publish">
      <xsd:simpleType>
        <xsd:restriction base="dms:Choice">
          <xsd:enumeration value="Yes"/>
          <xsd:enumeration value="No"/>
        </xsd:restriction>
      </xsd:simpleType>
    </xsd:element>
    <xsd:element name="Topic" ma:index="20" nillable="true" ma:displayName="Topic" ma:format="Dropdown" ma:internalName="Topic">
      <xsd:simpleType>
        <xsd:restriction base="dms:Choice">
          <xsd:enumeration value="Affordable Housing"/>
          <xsd:enumeration value="Agriculture"/>
          <xsd:enumeration value="Annexation"/>
          <xsd:enumeration value="Annual Report"/>
          <xsd:enumeration value="Best Available Science"/>
          <xsd:enumeration value="Bicycling, Walking"/>
          <xsd:enumeration value="Buildable Lands"/>
          <xsd:enumeration value="Capital Facilities"/>
          <xsd:enumeration value="Capital Facilities Template"/>
          <xsd:enumeration value="Citizen Participation"/>
          <xsd:enumeration value="Clearing, Grading"/>
          <xsd:enumeration value="Coastal Erosion"/>
          <xsd:enumeration value="Comprehensive Plans"/>
          <xsd:enumeration value="Concurrency"/>
          <xsd:enumeration value="Critical Areas"/>
          <xsd:enumeration value="Development Regulations"/>
          <xsd:enumeration value="Economic Development"/>
          <xsd:enumeration value="ESA Listings"/>
          <xsd:enumeration value="ESHB 1724"/>
          <xsd:enumeration value="GMA"/>
          <xsd:enumeration value="GMA"/>
          <xsd:enumeration value="GMA RCWs"/>
          <xsd:enumeration value="Governor's Smart Communities Awards Program Brochure"/>
          <xsd:enumeration value="Growth Management 15-Year - An Overview, Brochure"/>
          <xsd:enumeration value="Growth Management 15-Year Report"/>
          <xsd:enumeration value="Growth Management Hearings Boards"/>
          <xsd:enumeration value="Growth Management Services"/>
          <xsd:enumeration value="Historic Preservation"/>
          <xsd:enumeration value="Housing"/>
          <xsd:enumeration value="Impact Fees"/>
          <xsd:enumeration value="Interagency Contacts"/>
          <xsd:enumeration value="Land Use Element"/>
          <xsd:enumeration value="Medical Marijuana"/>
          <xsd:enumeration value="Military Installation Compatibility"/>
          <xsd:enumeration value="Military Installations"/>
          <xsd:enumeration value="Minimum Guidelines"/>
          <xsd:enumeration value="Model Codes"/>
          <xsd:enumeration value="Natural Hazard Reduction"/>
          <xsd:enumeration value="Parks, Recreation, and Open Space"/>
          <xsd:enumeration value="Permits"/>
          <xsd:enumeration value="Planner's Update Bulletin"/>
          <xsd:enumeration value="Planner's Update Newsletter"/>
          <xsd:enumeration value="Population Forecasting"/>
          <xsd:enumeration value="Procedural Criteria"/>
          <xsd:enumeration value="Project Consistency"/>
          <xsd:enumeration value="Property Rights"/>
          <xsd:enumeration value="Quality of Life"/>
          <xsd:enumeration value="RCWs"/>
          <xsd:enumeration value="Resource Lands"/>
          <xsd:enumeration value="Rural"/>
          <xsd:enumeration value="Rural Lands"/>
          <xsd:enumeration value="SEPA/GMA"/>
          <xsd:enumeration value="Shoreline Management"/>
          <xsd:enumeration value="Short Course"/>
          <xsd:enumeration value="Success Stories"/>
          <xsd:enumeration value="Transportation"/>
          <xsd:enumeration value="Update Process"/>
          <xsd:enumeration value="Update, GMA"/>
          <xsd:enumeration value="Urban"/>
          <xsd:enumeration value="Urban Growth Areas"/>
          <xsd:enumeration value="WAC"/>
          <xsd:enumeration value="Energy"/>
          <xsd:enumeration value="Energy strategy"/>
          <xsd:enumeration value="Energy policy"/>
          <xsd:enumeration value="Electric Utilities"/>
          <xsd:enumeration value="Building Codes"/>
          <xsd:enumeration value="Appliances"/>
          <xsd:enumeration value="SEP Grants and Loans"/>
          <xsd:enumeration value="Bioenergy"/>
          <xsd:enumeration value="Petroleum and Natural Gas"/>
          <xsd:enumeration value="Renewable Resources"/>
          <xsd:enumeration value="Transportation"/>
          <xsd:enumeration value="Energy Emergencies"/>
          <xsd:enumeration value="Energy Data"/>
          <xsd:enumeration value="60 day notice"/>
          <xsd:enumeration value="Appellate Decisions"/>
          <xsd:enumeration value="Biodiversity"/>
          <xsd:enumeration value="Checklist"/>
          <xsd:enumeration value="Citizen Participation"/>
          <xsd:enumeration value="Climate Change"/>
          <xsd:enumeration value="Energy"/>
          <xsd:enumeration value="Energy Aware"/>
          <xsd:enumeration value="Evergreen Communities"/>
          <xsd:enumeration value="GMA Effectiveness"/>
          <xsd:enumeration value="GMA Publications"/>
          <xsd:enumeration value="GMA RCW Update"/>
          <xsd:enumeration value="GMA Update Map"/>
          <xsd:enumeration value="Land Use Study Commission"/>
          <xsd:enumeration value="Mineral Lands"/>
          <xsd:enumeration value="Multi-Unit Tax Exemption"/>
          <xsd:enumeration value="Multi-Unit Tax Form"/>
          <xsd:enumeration value="NSP"/>
          <xsd:enumeration value="Planner Forums"/>
          <xsd:enumeration value="Property Rights"/>
          <xsd:enumeration value="Guidebook"/>
          <xsd:enumeration value="Parks and Open Space"/>
          <xsd:enumeration value="Periodic Update"/>
          <xsd:enumeration value="GMA Update (update process)"/>
          <xsd:enumeration value="Permitting"/>
          <xsd:enumeration value="Planners Update Newsletter"/>
          <xsd:enumeration value="Regulatory Reform"/>
          <xsd:enumeration value="School Planning"/>
          <xsd:enumeration value="Rural Lands"/>
          <xsd:enumeration value="SEPA"/>
          <xsd:enumeration value="SEPA/GMA"/>
          <xsd:enumeration value="Smart Growth"/>
          <xsd:enumeration value="TDR"/>
          <xsd:enumeration value="UGA"/>
          <xsd:enumeration value="Update"/>
          <xsd:enumeration value="Update Schedule Map"/>
          <xsd:enumeration value="Urban Growth Areas"/>
        </xsd:restriction>
      </xsd:simpleType>
    </xsd:element>
  </xsd:schema>
  <xsd:schema xmlns:xsd="http://www.w3.org/2001/XMLSchema" xmlns:xs="http://www.w3.org/2001/XMLSchema" xmlns:dms="http://schemas.microsoft.com/office/2006/documentManagement/types" xmlns:pc="http://schemas.microsoft.com/office/infopath/2007/PartnerControls" targetNamespace="59db5950-9a61-4c09-b3e2-fe6d472fba04" elementFormDefault="qualified">
    <xsd:import namespace="http://schemas.microsoft.com/office/2006/documentManagement/types"/>
    <xsd:import namespace="http://schemas.microsoft.com/office/infopath/2007/PartnerControls"/>
    <xsd:element name="d599451e10b14aceb47619c4acf6a5e3" ma:index="15" nillable="true" ma:taxonomy="true" ma:internalName="d599451e10b14aceb47619c4acf6a5e3" ma:taxonomyFieldName="Tags" ma:displayName="Tags" ma:default="" ma:fieldId="{d599451e-10b1-4ace-b476-19c4acf6a5e3}" ma:taxonomyMulti="true" ma:sspId="bf6a826f-2cab-45dc-9ffe-fa5cab908faa" ma:termSetId="1ce3ecf8-e5ae-413d-890c-de5413657a20" ma:anchorId="00000000-0000-0000-0000-000000000000" ma:open="false" ma:isKeyword="false">
      <xsd:complexType>
        <xsd:sequence>
          <xsd:element ref="pc:Terms" minOccurs="0" maxOccurs="1"/>
        </xsd:sequence>
      </xsd:complexType>
    </xsd:element>
    <xsd:element name="TaxCatchAll" ma:index="16" nillable="true" ma:displayName="Taxonomy Catch All Column" ma:hidden="true" ma:list="{ae2a0ba3-27c4-4c52-bac5-ed8a80cb3154}" ma:internalName="TaxCatchAll" ma:showField="CatchAllData" ma:web="36660fb1-bd30-4810-8537-b68c6e84052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ma:index="13"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Year xmlns="63979cc8-f6b2-4ee6-8bed-630b6048d169">2015</Year>
    <d599451e10b14aceb47619c4acf6a5e3 xmlns="59db5950-9a61-4c09-b3e2-fe6d472fba04">
      <Terms xmlns="http://schemas.microsoft.com/office/infopath/2007/PartnerControls"/>
    </d599451e10b14aceb47619c4acf6a5e3>
    <TaxCatchAll xmlns="59db5950-9a61-4c09-b3e2-fe6d472fba04"/>
    <BusinessUnit xmlns="63979cc8-f6b2-4ee6-8bed-630b6048d169">Energy Office</BusinessUnit>
    <PublishingExpirationDate xmlns="http://schemas.microsoft.com/sharepoint/v3" xsi:nil="true"/>
    <RoutingRuleDescription xmlns="http://schemas.microsoft.com/sharepoint/v3">eia</RoutingRuleDescription>
    <PublishingStartDate xmlns="http://schemas.microsoft.com/sharepoint/v3" xsi:nil="true"/>
    <Publish xmlns="63979cc8-f6b2-4ee6-8bed-630b6048d169">Yes</Publish>
    <Topic xmlns="63979cc8-f6b2-4ee6-8bed-630b6048d169">Electric Utilities</Topic>
    <Program xmlns="63979cc8-f6b2-4ee6-8bed-630b6048d169">Energy and Technology</Program>
    <Content_x0020_Type xmlns="63979cc8-f6b2-4ee6-8bed-630b6048d169">Form</Content_x0020_Type>
  </documentManagement>
</p:properties>
</file>

<file path=customXml/itemProps1.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2.xml><?xml version="1.0" encoding="utf-8"?>
<ds:datastoreItem xmlns:ds="http://schemas.openxmlformats.org/officeDocument/2006/customXml" ds:itemID="{2EF96C38-3FA3-486F-8EDF-D6400E46EF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3979cc8-f6b2-4ee6-8bed-630b6048d169"/>
    <ds:schemaRef ds:uri="59db5950-9a61-4c09-b3e2-fe6d472fba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5134EF7-F04D-4218-953F-7A835D8EE7C1}">
  <ds:schemaRefs>
    <ds:schemaRef ds:uri="http://schemas.microsoft.com/office/2006/metadata/properties"/>
    <ds:schemaRef ds:uri="http://purl.org/dc/dcmitype/"/>
    <ds:schemaRef ds:uri="http://schemas.microsoft.com/office/infopath/2007/PartnerControls"/>
    <ds:schemaRef ds:uri="http://www.w3.org/XML/1998/namespace"/>
    <ds:schemaRef ds:uri="http://purl.org/dc/terms/"/>
    <ds:schemaRef ds:uri="http://purl.org/dc/elements/1.1/"/>
    <ds:schemaRef ds:uri="63979cc8-f6b2-4ee6-8bed-630b6048d169"/>
    <ds:schemaRef ds:uri="http://schemas.microsoft.com/sharepoint/v3"/>
    <ds:schemaRef ds:uri="http://schemas.microsoft.com/office/2006/documentManagement/types"/>
    <ds:schemaRef ds:uri="http://schemas.openxmlformats.org/package/2006/metadata/core-properties"/>
    <ds:schemaRef ds:uri="59db5950-9a61-4c09-b3e2-fe6d472fba0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62</vt:i4>
      </vt:variant>
    </vt:vector>
  </HeadingPairs>
  <TitlesOfParts>
    <vt:vector size="68" baseType="lpstr">
      <vt:lpstr>Instructions - 2015</vt:lpstr>
      <vt:lpstr>Instructions - Revise 2013</vt:lpstr>
      <vt:lpstr>Conservation Report</vt:lpstr>
      <vt:lpstr>Renewables Report</vt:lpstr>
      <vt:lpstr>Renewable Cost Report</vt:lpstr>
      <vt:lpstr>Data</vt:lpstr>
      <vt:lpstr>CON_2014_Agriculture_Expend</vt:lpstr>
      <vt:lpstr>CON_2014_Agriculture_MWH</vt:lpstr>
      <vt:lpstr>CON_2014_Commercial_Expend</vt:lpstr>
      <vt:lpstr>CON_2014_Commercial_MWH</vt:lpstr>
      <vt:lpstr>CON_2014_Distribution_Expend</vt:lpstr>
      <vt:lpstr>CON_2014_Distribution_MWH</vt:lpstr>
      <vt:lpstr>CON_2014_Expenditures</vt:lpstr>
      <vt:lpstr>CON_2014_Industrial_Expend</vt:lpstr>
      <vt:lpstr>CON_2014_Industrial_MWH</vt:lpstr>
      <vt:lpstr>CON_2014_MWH</vt:lpstr>
      <vt:lpstr>CON_2014_NEEA_Expend</vt:lpstr>
      <vt:lpstr>CON_2014_NEEA_MWH</vt:lpstr>
      <vt:lpstr>CON_2014_OtherSector1_Expend</vt:lpstr>
      <vt:lpstr>CON_2014_OtherSector1_MWH</vt:lpstr>
      <vt:lpstr>CON_2014_OtherSector2_Expend</vt:lpstr>
      <vt:lpstr>CON_2014_OtherSector2_MWH</vt:lpstr>
      <vt:lpstr>CON_2014_Production_Expend</vt:lpstr>
      <vt:lpstr>CON_2014_Production_MWH</vt:lpstr>
      <vt:lpstr>CON_2014_Program1_Expend</vt:lpstr>
      <vt:lpstr>CON_2014_Program2_Expend</vt:lpstr>
      <vt:lpstr>CON_2014_Residential_Expend</vt:lpstr>
      <vt:lpstr>CON_2014_Residential_MWH</vt:lpstr>
      <vt:lpstr>CON_Contact_Name</vt:lpstr>
      <vt:lpstr>CON_Email</vt:lpstr>
      <vt:lpstr>CON_Phone</vt:lpstr>
      <vt:lpstr>CON_Potential_2014_2023</vt:lpstr>
      <vt:lpstr>CON_Report_Date</vt:lpstr>
      <vt:lpstr>CON_Target_2014_2015</vt:lpstr>
      <vt:lpstr>CON_Utility_Name</vt:lpstr>
      <vt:lpstr>'Conservation Report'!Print_Area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REN_Expenditure_Amount_2015</vt:lpstr>
      <vt:lpstr>REN_Expenditure_Percent_2015</vt:lpstr>
      <vt:lpstr>REN_Load_2013</vt:lpstr>
      <vt:lpstr>REN_Load_2014</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REN_RetailRevenueRequirement_2015</vt:lpstr>
      <vt:lpstr>REN_Submittal_Date</vt:lpstr>
      <vt:lpstr>REN_Total_2015</vt:lpstr>
      <vt:lpstr>REN_Utility_Name</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2015 Report Workbook for Utilities</dc:title>
  <dc:creator>Glenn Blackmon</dc:creator>
  <cp:keywords>EIA 2014 Report Workbook for Utilities</cp:keywords>
  <cp:lastModifiedBy>Glenn Blackmon</cp:lastModifiedBy>
  <cp:lastPrinted>2015-05-26T17:19:12Z</cp:lastPrinted>
  <dcterms:created xsi:type="dcterms:W3CDTF">2012-03-20T21:01:26Z</dcterms:created>
  <dcterms:modified xsi:type="dcterms:W3CDTF">2015-06-02T22:50:14Z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0x010100B37F82A00B46344287D29A2B5774955F</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