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3.xml" ContentType="application/vnd.ms-excel.controlproperties+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330" yWindow="30" windowWidth="15030" windowHeight="6015" tabRatio="719"/>
  </bookViews>
  <sheets>
    <sheet name="Instructions - 2015" sheetId="21" r:id="rId1"/>
    <sheet name="Instructions - Revise 2013"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Report'!$E$20</definedName>
    <definedName name="CON_2014_Agriculture_MWH">'Conservation Report'!$D$20</definedName>
    <definedName name="CON_2014_Commercial_Expend">'Conservation Report'!$E$18</definedName>
    <definedName name="CON_2014_Commercial_MWH">'Conservation Report'!$D$18</definedName>
    <definedName name="CON_2014_Distribution_Expend">'Conservation Report'!$E$21</definedName>
    <definedName name="CON_2014_Distribution_MWH">'Conservation Report'!$D$21</definedName>
    <definedName name="CON_2014_Expenditures">'Conservation Report'!$E$29</definedName>
    <definedName name="CON_2014_Industrial_Expend">'Conservation Report'!$E$19</definedName>
    <definedName name="CON_2014_Industrial_MWH">'Conservation Report'!$D$19</definedName>
    <definedName name="CON_2014_MWH">'Conservation Report'!$D$29</definedName>
    <definedName name="CON_2014_NEEA_Expend">'Conservation Report'!$E$23</definedName>
    <definedName name="CON_2014_NEEA_MWH">'Conservation Report'!$D$23</definedName>
    <definedName name="CON_2014_OtherSector1_Expend">'Conservation Report'!$E$24</definedName>
    <definedName name="CON_2014_OtherSector1_MWH">'Conservation Report'!$D$24</definedName>
    <definedName name="CON_2014_OtherSector2_Expend">'Conservation Report'!$E$25</definedName>
    <definedName name="CON_2014_OtherSector2_MWH">'Conservation Report'!$D$25</definedName>
    <definedName name="CON_2014_Production_Expend">'Conservation Report'!$E$22</definedName>
    <definedName name="CON_2014_Production_MWH">'Conservation Report'!$D$22</definedName>
    <definedName name="CON_2014_Program1_Expend">'Conservation Report'!$E$27</definedName>
    <definedName name="CON_2014_Program2_Expend">'Conservation Report'!$E$28</definedName>
    <definedName name="CON_2014_Residential_Expend">'Conservation Report'!$E$17</definedName>
    <definedName name="CON_2014_Residential_MWH">'Conservation Report'!$D$17</definedName>
    <definedName name="CON_Contact_Name">'Conservation Report'!$C$5</definedName>
    <definedName name="CON_Email">'Conservation Report'!$C$7</definedName>
    <definedName name="CON_Phone">'Conservation Report'!$C$6</definedName>
    <definedName name="CON_Potential_2014_2023">'Conservation Report'!$D$12</definedName>
    <definedName name="CON_Report_Date">'Conservation Report'!$C$4</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Report'!$A$1:$J$56</definedName>
    <definedName name="_xlnm.Print_Area" localSheetId="4">'Renewable Cost Report'!$B$1:$L$77</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5">'Renewables Report'!$N$11</definedName>
    <definedName name="REN_Expenditure_Percent_2015">'Renewables Report'!$N$13</definedName>
    <definedName name="REN_Load_2013">'Renewables Report'!$N$3</definedName>
    <definedName name="REN_Load_2014">'Renewables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5">'Renewables Report'!$N$12</definedName>
    <definedName name="REN_Submittal_Date">'Renewables Report'!$C$4</definedName>
    <definedName name="REN_Total_2015">'Renewables Report'!$N$8</definedName>
    <definedName name="REN_Utility_Name">'Renewables Report'!$C$3</definedName>
  </definedNames>
  <calcPr calcId="125725"/>
</workbook>
</file>

<file path=xl/calcChain.xml><?xml version="1.0" encoding="utf-8"?>
<calcChain xmlns="http://schemas.openxmlformats.org/spreadsheetml/2006/main">
  <c r="N54" i="16"/>
  <c r="D17" i="18" l="1"/>
  <c r="D21"/>
  <c r="D18"/>
  <c r="E27"/>
  <c r="E17"/>
  <c r="E37" i="23" l="1"/>
  <c r="E38"/>
  <c r="E39"/>
  <c r="E40"/>
  <c r="E41"/>
  <c r="E42"/>
  <c r="E43"/>
  <c r="E44"/>
  <c r="E45"/>
  <c r="E46"/>
  <c r="E47"/>
  <c r="E48"/>
  <c r="E49"/>
  <c r="E50"/>
  <c r="E51"/>
  <c r="E52"/>
  <c r="E53"/>
  <c r="E54"/>
  <c r="E55"/>
  <c r="E56"/>
  <c r="E57"/>
  <c r="E58"/>
  <c r="E59"/>
  <c r="E36"/>
  <c r="E35"/>
  <c r="F35" s="1"/>
  <c r="G36" l="1"/>
  <c r="L7"/>
  <c r="G37"/>
  <c r="G38"/>
  <c r="G39"/>
  <c r="G40"/>
  <c r="G41"/>
  <c r="G42"/>
  <c r="G43"/>
  <c r="G44"/>
  <c r="G45"/>
  <c r="G46"/>
  <c r="G47"/>
  <c r="G48"/>
  <c r="G49"/>
  <c r="G50"/>
  <c r="G51"/>
  <c r="G52"/>
  <c r="G53"/>
  <c r="G54"/>
  <c r="G55"/>
  <c r="G56"/>
  <c r="G57"/>
  <c r="G58"/>
  <c r="G59"/>
  <c r="G35"/>
  <c r="L27" l="1"/>
  <c r="L26"/>
  <c r="L25"/>
  <c r="L24"/>
  <c r="L23"/>
  <c r="L22"/>
  <c r="L21"/>
  <c r="L20"/>
  <c r="L19"/>
  <c r="L18"/>
  <c r="L17"/>
  <c r="L16"/>
  <c r="L15"/>
  <c r="L14"/>
  <c r="L13"/>
  <c r="L12"/>
  <c r="L11"/>
  <c r="L10"/>
  <c r="L9"/>
  <c r="L8"/>
  <c r="BE2" i="19"/>
  <c r="CE2" l="1"/>
  <c r="CC2"/>
  <c r="CB2"/>
  <c r="BZ2"/>
  <c r="BY2"/>
  <c r="BX2"/>
  <c r="BW2"/>
  <c r="BV2"/>
  <c r="BU2"/>
  <c r="BT2"/>
  <c r="BS2"/>
  <c r="BR2"/>
  <c r="BQ2"/>
  <c r="BN2"/>
  <c r="BK2"/>
  <c r="BJ2"/>
  <c r="BI2"/>
  <c r="BH2"/>
  <c r="BF2"/>
  <c r="BD2"/>
  <c r="BB2"/>
  <c r="BA2"/>
  <c r="AZ2"/>
  <c r="AY2"/>
  <c r="AX2"/>
  <c r="AW2"/>
  <c r="AV2"/>
  <c r="AU2"/>
  <c r="AT2"/>
  <c r="AS2"/>
  <c r="AP2"/>
  <c r="AM2"/>
  <c r="AL2"/>
  <c r="AK2"/>
  <c r="AJ2"/>
  <c r="AI2"/>
  <c r="AH2"/>
  <c r="AF2"/>
  <c r="AE2"/>
  <c r="AD2"/>
  <c r="AC2"/>
  <c r="AB2"/>
  <c r="AA2"/>
  <c r="Z2"/>
  <c r="Y2"/>
  <c r="X2"/>
  <c r="W2"/>
  <c r="V2"/>
  <c r="U2"/>
  <c r="T2"/>
  <c r="S2"/>
  <c r="R2"/>
  <c r="Q2"/>
  <c r="P2"/>
  <c r="O2"/>
  <c r="N2"/>
  <c r="M2"/>
  <c r="L2"/>
  <c r="J2"/>
  <c r="I2"/>
  <c r="G2"/>
  <c r="F2"/>
  <c r="E2"/>
  <c r="D2"/>
  <c r="C2"/>
  <c r="B2"/>
  <c r="F60" i="23"/>
  <c r="D59"/>
  <c r="C59"/>
  <c r="D58"/>
  <c r="C58"/>
  <c r="D57"/>
  <c r="C57"/>
  <c r="D56"/>
  <c r="C56"/>
  <c r="D55"/>
  <c r="C55"/>
  <c r="D54"/>
  <c r="C54"/>
  <c r="D53"/>
  <c r="C53"/>
  <c r="D52"/>
  <c r="C52"/>
  <c r="D51"/>
  <c r="C51"/>
  <c r="D50"/>
  <c r="C50"/>
  <c r="D49"/>
  <c r="C49"/>
  <c r="D48"/>
  <c r="C48"/>
  <c r="D47"/>
  <c r="C47"/>
  <c r="D46"/>
  <c r="C46"/>
  <c r="D45"/>
  <c r="C45"/>
  <c r="D44"/>
  <c r="C44"/>
  <c r="D43"/>
  <c r="C43"/>
  <c r="D42"/>
  <c r="C42"/>
  <c r="D41"/>
  <c r="C41"/>
  <c r="D40"/>
  <c r="C40"/>
  <c r="D39"/>
  <c r="C39"/>
  <c r="D38"/>
  <c r="C38"/>
  <c r="D37"/>
  <c r="C37"/>
  <c r="D36"/>
  <c r="C36"/>
  <c r="D35"/>
  <c r="C35"/>
  <c r="B59"/>
  <c r="B58"/>
  <c r="B57"/>
  <c r="B56"/>
  <c r="B55"/>
  <c r="B54"/>
  <c r="B53"/>
  <c r="B52"/>
  <c r="B51"/>
  <c r="B50"/>
  <c r="B49"/>
  <c r="B48"/>
  <c r="B47"/>
  <c r="B46"/>
  <c r="B45"/>
  <c r="B44"/>
  <c r="B43"/>
  <c r="B42"/>
  <c r="B41"/>
  <c r="B40"/>
  <c r="B39"/>
  <c r="B38"/>
  <c r="B37"/>
  <c r="B36"/>
  <c r="B35"/>
  <c r="E28"/>
  <c r="J28"/>
  <c r="D8"/>
  <c r="F8" s="1"/>
  <c r="D9"/>
  <c r="K9" s="1"/>
  <c r="D10"/>
  <c r="F10" s="1"/>
  <c r="D11"/>
  <c r="K11" s="1"/>
  <c r="D12"/>
  <c r="K12" s="1"/>
  <c r="D13"/>
  <c r="K13" s="1"/>
  <c r="D14"/>
  <c r="F14" s="1"/>
  <c r="D15"/>
  <c r="K15" s="1"/>
  <c r="D16"/>
  <c r="K16" s="1"/>
  <c r="D17"/>
  <c r="K17" s="1"/>
  <c r="D18"/>
  <c r="F18" s="1"/>
  <c r="D19"/>
  <c r="F19" s="1"/>
  <c r="D20"/>
  <c r="K20" s="1"/>
  <c r="D21"/>
  <c r="K21" s="1"/>
  <c r="D22"/>
  <c r="F22" s="1"/>
  <c r="D23"/>
  <c r="K23" s="1"/>
  <c r="D24"/>
  <c r="F24" s="1"/>
  <c r="D25"/>
  <c r="K25" s="1"/>
  <c r="D26"/>
  <c r="F26" s="1"/>
  <c r="D27"/>
  <c r="F27" s="1"/>
  <c r="D7"/>
  <c r="F7" s="1"/>
  <c r="K26" l="1"/>
  <c r="K10"/>
  <c r="K18"/>
  <c r="L28"/>
  <c r="N11" i="16" s="1"/>
  <c r="F16" i="23"/>
  <c r="K8"/>
  <c r="K24"/>
  <c r="F20"/>
  <c r="K7"/>
  <c r="K14"/>
  <c r="K22"/>
  <c r="D28"/>
  <c r="F12"/>
  <c r="F23"/>
  <c r="F15"/>
  <c r="K19"/>
  <c r="K27"/>
  <c r="F25"/>
  <c r="F21"/>
  <c r="F17"/>
  <c r="F13"/>
  <c r="F9"/>
  <c r="F11"/>
  <c r="B7"/>
  <c r="C7"/>
  <c r="B8"/>
  <c r="C8"/>
  <c r="B9"/>
  <c r="C9"/>
  <c r="B10"/>
  <c r="C10"/>
  <c r="B11"/>
  <c r="C11"/>
  <c r="B12"/>
  <c r="C12"/>
  <c r="B13"/>
  <c r="C13"/>
  <c r="B14"/>
  <c r="C14"/>
  <c r="B15"/>
  <c r="C15"/>
  <c r="B16"/>
  <c r="C16"/>
  <c r="B17"/>
  <c r="C17"/>
  <c r="B18"/>
  <c r="C18"/>
  <c r="B19"/>
  <c r="C19"/>
  <c r="B20"/>
  <c r="C20"/>
  <c r="B21"/>
  <c r="C21"/>
  <c r="B22"/>
  <c r="C22"/>
  <c r="B23"/>
  <c r="C23"/>
  <c r="B24"/>
  <c r="C24"/>
  <c r="B25"/>
  <c r="C25"/>
  <c r="B26"/>
  <c r="C26"/>
  <c r="B27"/>
  <c r="C27"/>
  <c r="F3"/>
  <c r="F30" s="1"/>
  <c r="BO2" i="19" l="1"/>
  <c r="AQ2"/>
  <c r="N5" i="21"/>
  <c r="N7" i="20"/>
  <c r="N5" i="16"/>
  <c r="A2" i="19" l="1"/>
  <c r="N13" i="16" l="1"/>
  <c r="AR2" i="19" l="1"/>
  <c r="BP2"/>
  <c r="C18" i="16"/>
  <c r="D18"/>
  <c r="E18"/>
  <c r="F18"/>
  <c r="G18"/>
  <c r="H18"/>
  <c r="I18"/>
  <c r="J18"/>
  <c r="K18"/>
  <c r="L18"/>
  <c r="AG2" i="19" s="1"/>
  <c r="BL2" l="1"/>
  <c r="AN2"/>
  <c r="BM2"/>
  <c r="AO2"/>
  <c r="C31" i="18"/>
  <c r="E29" l="1"/>
  <c r="H2" i="19" s="1"/>
  <c r="D29" i="18"/>
  <c r="K2" i="19" s="1"/>
  <c r="M19" i="16" l="1"/>
  <c r="M20" l="1"/>
  <c r="F98"/>
  <c r="L19"/>
  <c r="F66"/>
  <c r="F36"/>
  <c r="K19"/>
  <c r="J19"/>
  <c r="I19"/>
  <c r="H19"/>
  <c r="G19"/>
  <c r="F19"/>
  <c r="E19"/>
  <c r="D19"/>
  <c r="C20"/>
  <c r="N7"/>
  <c r="CA2" i="19" l="1"/>
  <c r="BC2"/>
  <c r="F20" i="16"/>
  <c r="J20"/>
  <c r="E20"/>
  <c r="G20"/>
  <c r="I20"/>
  <c r="H20"/>
  <c r="L20"/>
  <c r="D20"/>
  <c r="K20"/>
  <c r="N8" l="1"/>
  <c r="CD2" i="19" l="1"/>
  <c r="BG2"/>
</calcChain>
</file>

<file path=xl/sharedStrings.xml><?xml version="1.0" encoding="utf-8"?>
<sst xmlns="http://schemas.openxmlformats.org/spreadsheetml/2006/main" count="353" uniqueCount="237">
  <si>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</si>
  <si>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</si>
  <si>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</si>
  <si>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</si>
  <si>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</si>
  <si>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</si>
  <si>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</si>
  <si>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</si>
  <si>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</si>
  <si>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</si>
  <si>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</si>
  <si>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</si>
  <si>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</si>
  <si>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</si>
  <si>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</si>
  <si>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</si>
  <si>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</si>
  <si>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</si>
  <si>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</si>
  <si>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</si>
  <si>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</si>
  <si>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</si>
  <si>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</si>
  <si>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</si>
  <si>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</si>
  <si>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</si>
  <si>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</si>
  <si>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</si>
  <si>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</si>
  <si>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</si>
  <si>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</si>
  <si>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</si>
  <si>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</si>
  <si>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</si>
  <si>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</si>
  <si>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</si>
  <si>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</si>
  <si>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</si>
  <si>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</si>
  <si>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</si>
  <si>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</si>
  <si>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</si>
  <si>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</si>
  <si>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</si>
  <si>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</si>
  <si>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</si>
  <si>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</si>
  <si>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</si>
  <si>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</si>
  <si>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</si>
  <si>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</si>
  <si>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</si>
  <si>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</si>
  <si>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</si>
  <si>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</si>
  <si>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</si>
  <si>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</si>
  <si>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</si>
  <si>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</si>
  <si>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</si>
  <si>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</si>
  <si>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</si>
  <si>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</si>
  <si>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</si>
  <si>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</si>
  <si>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</si>
  <si>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</si>
  <si>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</si>
  <si>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</si>
  <si>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</si>
  <si>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</si>
  <si>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</si>
  <si>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</si>
  <si>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</si>
  <si>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</si>
  <si>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</si>
  <si>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</si>
  <si>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</si>
  <si>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</si>
  <si>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</si>
  <si>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</si>
  <si>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</si>
  <si>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</si>
  <si>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</si>
  <si>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</si>
  <si>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</si>
  <si>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</si>
  <si>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</si>
  <si>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</si>
  <si>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</si>
  <si>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</si>
  <si>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</si>
  <si>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</si>
  <si>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</si>
  <si>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</si>
  <si>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</si>
  <si>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</si>
  <si>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</si>
  <si>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</si>
  <si>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</si>
  <si>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</si>
  <si>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</si>
  <si>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</si>
  <si>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</si>
  <si>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</si>
  <si>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</si>
  <si>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</si>
  <si>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</si>
  <si>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</si>
  <si>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</si>
  <si>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</si>
  <si>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</si>
  <si>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</si>
  <si>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</si>
  <si>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</si>
  <si>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</si>
  <si>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</si>
  <si>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</si>
  <si>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</si>
  <si>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</si>
  <si>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</si>
  <si>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</si>
  <si>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</si>
  <si>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</si>
  <si>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</si>
  <si>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</si>
  <si>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</si>
  <si>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</si>
  <si>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</si>
  <si>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</si>
  <si>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</si>
  <si>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</si>
  <si>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</si>
  <si>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</si>
  <si>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</si>
  <si>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</si>
  <si>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</si>
  <si>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</si>
  <si>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</si>
  <si>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</si>
  <si>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</si>
  <si>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</si>
  <si>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</si>
  <si>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</si>
  <si>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</si>
  <si>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</si>
  <si>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</si>
  <si>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Annual Cost in 2015</t>
  </si>
  <si>
    <t>Substitute Resource Annual Cost in 2015</t>
  </si>
  <si>
    <t>Renewable Resource Cost per MWH</t>
  </si>
  <si>
    <t>Substitute Resource Cost per MWH</t>
  </si>
  <si>
    <t>Incremental Cost of Renewable Resource in 2015</t>
  </si>
  <si>
    <t>Totals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</si>
  <si>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</si>
  <si>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</si>
  <si>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</si>
  <si>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</si>
  <si>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</si>
  <si>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</si>
  <si>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</si>
  <si>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</si>
  <si>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</si>
  <si>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</si>
  <si>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</si>
  <si>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</si>
  <si>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</si>
  <si>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</si>
  <si>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</si>
  <si>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</si>
  <si>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</si>
  <si>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</si>
  <si>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</si>
  <si>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</si>
  <si>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</si>
  <si>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</si>
  <si>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</si>
  <si>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</si>
  <si>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</si>
  <si>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</si>
  <si>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</si>
  <si>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</si>
  <si>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</si>
  <si>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</si>
  <si>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</si>
  <si>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</si>
  <si>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</si>
  <si>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</si>
  <si>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</si>
  <si>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</si>
  <si>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</si>
  <si>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RENEWABLE ENERGY WORKSHEET – REVISIONS TO 2013 REPORT</t>
  </si>
  <si>
    <r>
      <t xml:space="preserve">In addition to submitting the 2015 report, each qualifying utility should review the renewable energy report it submitted in 2013. In many cases, the specific resources and quantities actually used to comply with the 2013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</si>
  <si>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t>Expenditures on Renewable Resources and RECs - 2015</t>
  </si>
  <si>
    <t>2015 Compliance Method:</t>
  </si>
  <si>
    <t>Number of RECs</t>
  </si>
  <si>
    <t>Annual Cost of Renewable Energy Credits</t>
  </si>
  <si>
    <t>Cost per REC</t>
  </si>
  <si>
    <t>Avista Corp.</t>
  </si>
  <si>
    <t>Mark Baker, Demand Side Management</t>
  </si>
  <si>
    <t>(509) 495-4864</t>
  </si>
  <si>
    <t>mark.baker@avistacorp.com</t>
  </si>
  <si>
    <t>General</t>
  </si>
  <si>
    <t>Avista</t>
  </si>
  <si>
    <t>John Lyons, Energy Resources</t>
  </si>
  <si>
    <t>509-495-8515</t>
  </si>
  <si>
    <t>john.lyons@avistacorp.com</t>
  </si>
  <si>
    <t>Long Lake #3</t>
  </si>
  <si>
    <t>W2103</t>
  </si>
  <si>
    <t>Little Falls #4</t>
  </si>
  <si>
    <t>W2102</t>
  </si>
  <si>
    <t>Cabinet Gorge #2</t>
  </si>
  <si>
    <t>Cabinet Gorge #3</t>
  </si>
  <si>
    <t>Cabinet Gorge #4</t>
  </si>
  <si>
    <t>Noxon Rapids #1</t>
  </si>
  <si>
    <t>Noxon Rapids #2</t>
  </si>
  <si>
    <t>Noxon Rapids #3</t>
  </si>
  <si>
    <t>Noxon Rapids #4</t>
  </si>
  <si>
    <t>Wanapum Fish Bypass</t>
  </si>
  <si>
    <t>Palouse Wind</t>
  </si>
  <si>
    <t>W1560</t>
  </si>
  <si>
    <t>W1561</t>
  </si>
  <si>
    <t>W1562</t>
  </si>
  <si>
    <t>W1530</t>
  </si>
  <si>
    <t>W1552</t>
  </si>
  <si>
    <t>W1554</t>
  </si>
  <si>
    <t>W1555</t>
  </si>
  <si>
    <t>N/A</t>
  </si>
  <si>
    <t>W2906</t>
  </si>
  <si>
    <t>Stateline Wind Project</t>
  </si>
  <si>
    <t>W249</t>
  </si>
  <si>
    <t>Uses 2001 IRP assumptions, levelized upgrades uses first 30 years</t>
  </si>
  <si>
    <t>Uses 1997 IRP assumptions, levelized upgrades uses first 30 years</t>
  </si>
  <si>
    <t>Uses 2003 IRP assumptions, levelized upgrades uses first 30 years</t>
  </si>
  <si>
    <t>Uses 2007 IRP assumptions, levelized upgrades uses first 30 years</t>
  </si>
  <si>
    <t>Uses 2007 IRP assumptions (decision made in 2008, adjusted for inflation), levelized upgrades uses first 30 years</t>
  </si>
  <si>
    <t>Assumes zero as LT avoided cost cannot be calculated</t>
  </si>
  <si>
    <t>Uses 2011 IRP assumptions (decision made in  2011, adjusted for inflation), levelized upgrade uses first 30 yrs</t>
  </si>
</sst>
</file>

<file path=xl/styles.xml><?xml version="1.0" encoding="utf-8"?>
<styleSheet xmlns="http://schemas.openxmlformats.org/spreadsheetml/2006/main">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5">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s>
  <fills count="9">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s>
  <borders count="4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13">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8" xfId="0" applyFont="1" applyFill="1" applyBorder="1" applyAlignment="1">
      <alignment horizontal="right"/>
    </xf>
    <xf numFmtId="0" fontId="17" fillId="2" borderId="29"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2" xfId="0" applyFont="1" applyFill="1" applyBorder="1"/>
    <xf numFmtId="0" fontId="10" fillId="2" borderId="37" xfId="0" applyFont="1" applyFill="1" applyBorder="1"/>
    <xf numFmtId="0" fontId="10" fillId="2" borderId="31" xfId="0" applyFont="1" applyFill="1" applyBorder="1"/>
    <xf numFmtId="0" fontId="1" fillId="2" borderId="31"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8" xfId="0" applyFont="1" applyFill="1" applyBorder="1" applyAlignment="1">
      <alignment horizontal="center" wrapText="1"/>
    </xf>
    <xf numFmtId="165" fontId="11" fillId="3" borderId="2" xfId="1" applyNumberFormat="1" applyFont="1" applyFill="1" applyBorder="1" applyAlignment="1">
      <alignment horizontal="right"/>
    </xf>
    <xf numFmtId="165" fontId="11" fillId="3" borderId="18" xfId="1" applyNumberFormat="1" applyFont="1" applyFill="1" applyBorder="1" applyAlignment="1">
      <alignment horizontal="right"/>
    </xf>
    <xf numFmtId="164" fontId="10" fillId="4" borderId="26" xfId="0" applyNumberFormat="1" applyFont="1" applyFill="1" applyBorder="1" applyAlignment="1">
      <alignment horizontal="center"/>
    </xf>
    <xf numFmtId="0" fontId="10" fillId="2" borderId="32" xfId="0" applyFont="1" applyFill="1" applyBorder="1" applyAlignment="1"/>
    <xf numFmtId="164" fontId="10" fillId="5" borderId="26" xfId="0" applyNumberFormat="1" applyFont="1" applyFill="1" applyBorder="1" applyAlignment="1">
      <alignment horizontal="center"/>
    </xf>
    <xf numFmtId="164" fontId="10" fillId="5" borderId="27" xfId="0" applyNumberFormat="1" applyFont="1" applyFill="1" applyBorder="1" applyAlignment="1">
      <alignment horizontal="center"/>
    </xf>
    <xf numFmtId="169" fontId="10" fillId="2" borderId="0" xfId="0" applyNumberFormat="1" applyFont="1" applyFill="1" applyAlignment="1">
      <alignment horizontal="right"/>
    </xf>
    <xf numFmtId="0" fontId="22" fillId="2" borderId="0" xfId="0" applyFont="1" applyFill="1" applyBorder="1" applyAlignment="1">
      <alignment vertical="top" wrapText="1"/>
    </xf>
    <xf numFmtId="0" fontId="22" fillId="2" borderId="31" xfId="0" applyFont="1" applyFill="1" applyBorder="1" applyAlignment="1">
      <alignment vertical="top" wrapText="1"/>
    </xf>
    <xf numFmtId="0" fontId="18" fillId="2" borderId="0" xfId="0" applyFont="1" applyFill="1" applyBorder="1"/>
    <xf numFmtId="0" fontId="22" fillId="2" borderId="37" xfId="0" applyFont="1" applyFill="1" applyBorder="1" applyAlignment="1">
      <alignment vertical="top"/>
    </xf>
    <xf numFmtId="0" fontId="23" fillId="0" borderId="39" xfId="0" applyFont="1" applyBorder="1" applyAlignment="1">
      <alignment vertical="center" wrapText="1"/>
    </xf>
    <xf numFmtId="0" fontId="23" fillId="0" borderId="40" xfId="0" applyFont="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vertical="center" wrapText="1"/>
    </xf>
    <xf numFmtId="0" fontId="25" fillId="6" borderId="42" xfId="0" applyFont="1" applyFill="1" applyBorder="1" applyAlignment="1">
      <alignment vertical="center"/>
    </xf>
    <xf numFmtId="0" fontId="25" fillId="6" borderId="43" xfId="0" applyFont="1" applyFill="1" applyBorder="1" applyAlignment="1">
      <alignment vertical="center"/>
    </xf>
    <xf numFmtId="0" fontId="27" fillId="6" borderId="40" xfId="0" applyFont="1" applyFill="1" applyBorder="1" applyAlignment="1">
      <alignment vertical="center" wrapText="1"/>
    </xf>
    <xf numFmtId="0" fontId="27" fillId="6" borderId="43" xfId="0" applyFont="1" applyFill="1" applyBorder="1" applyAlignment="1">
      <alignment vertical="center" wrapText="1"/>
    </xf>
    <xf numFmtId="0" fontId="25" fillId="6" borderId="40" xfId="0" applyFont="1" applyFill="1" applyBorder="1" applyAlignment="1">
      <alignment vertical="center" wrapText="1"/>
    </xf>
    <xf numFmtId="0" fontId="27" fillId="6" borderId="43" xfId="0" applyFont="1" applyFill="1" applyBorder="1" applyAlignment="1">
      <alignment vertical="center"/>
    </xf>
    <xf numFmtId="0" fontId="25" fillId="6" borderId="43" xfId="0" applyFont="1" applyFill="1" applyBorder="1" applyAlignment="1">
      <alignment vertical="center" wrapText="1"/>
    </xf>
    <xf numFmtId="0" fontId="23" fillId="6" borderId="43" xfId="0" applyFont="1" applyFill="1" applyBorder="1" applyAlignment="1">
      <alignment vertical="center"/>
    </xf>
    <xf numFmtId="0" fontId="27" fillId="6" borderId="40" xfId="0" applyFont="1" applyFill="1" applyBorder="1" applyAlignment="1">
      <alignment vertical="center"/>
    </xf>
    <xf numFmtId="0" fontId="29" fillId="6" borderId="40" xfId="0" applyFont="1" applyFill="1" applyBorder="1" applyAlignment="1">
      <alignment horizontal="left" vertical="center" wrapText="1" indent="5"/>
    </xf>
    <xf numFmtId="0" fontId="0" fillId="6" borderId="40" xfId="0" applyFill="1" applyBorder="1" applyAlignment="1">
      <alignment vertical="center" wrapText="1"/>
    </xf>
    <xf numFmtId="0" fontId="28" fillId="6" borderId="43" xfId="0" applyFont="1" applyFill="1" applyBorder="1" applyAlignment="1">
      <alignment vertical="center" wrapText="1"/>
    </xf>
    <xf numFmtId="0" fontId="27" fillId="6" borderId="41"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6" borderId="43" xfId="0" applyNumberFormat="1" applyFont="1" applyFill="1" applyBorder="1" applyAlignment="1">
      <alignment horizontal="left" vertical="center"/>
    </xf>
    <xf numFmtId="0" fontId="11" fillId="2" borderId="27" xfId="0" applyFont="1" applyFill="1" applyBorder="1" applyAlignment="1">
      <alignment horizontal="center" wrapText="1"/>
    </xf>
    <xf numFmtId="0" fontId="3" fillId="2" borderId="0" xfId="0" applyFont="1" applyFill="1" applyBorder="1" applyAlignment="1"/>
    <xf numFmtId="0" fontId="1" fillId="7" borderId="10"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right"/>
    </xf>
    <xf numFmtId="0" fontId="1" fillId="7" borderId="6" xfId="0" applyFont="1" applyFill="1" applyBorder="1" applyAlignment="1">
      <alignment horizontal="center"/>
    </xf>
    <xf numFmtId="0" fontId="1" fillId="7" borderId="23" xfId="0" applyFont="1" applyFill="1" applyBorder="1" applyAlignment="1">
      <alignment horizontal="center"/>
    </xf>
    <xf numFmtId="0" fontId="1" fillId="7" borderId="23" xfId="0" applyFont="1" applyFill="1" applyBorder="1" applyAlignment="1">
      <alignment horizontal="right"/>
    </xf>
    <xf numFmtId="165" fontId="10" fillId="7" borderId="1" xfId="1" applyNumberFormat="1" applyFont="1" applyFill="1" applyBorder="1" applyAlignment="1"/>
    <xf numFmtId="165" fontId="10" fillId="7" borderId="23" xfId="1" applyNumberFormat="1" applyFont="1" applyFill="1" applyBorder="1" applyAlignment="1"/>
    <xf numFmtId="0" fontId="1" fillId="7" borderId="11" xfId="0" applyFont="1" applyFill="1" applyBorder="1" applyAlignment="1">
      <alignment horizontal="center"/>
    </xf>
    <xf numFmtId="0" fontId="1" fillId="7" borderId="2" xfId="0" applyFont="1" applyFill="1" applyBorder="1" applyAlignment="1">
      <alignment horizontal="center"/>
    </xf>
    <xf numFmtId="0" fontId="1" fillId="7" borderId="2" xfId="0" applyFont="1" applyFill="1" applyBorder="1" applyAlignment="1">
      <alignment horizontal="right"/>
    </xf>
    <xf numFmtId="165" fontId="10" fillId="7" borderId="2" xfId="1" applyNumberFormat="1" applyFont="1" applyFill="1" applyBorder="1" applyAlignment="1"/>
    <xf numFmtId="0" fontId="14" fillId="2" borderId="0" xfId="0" applyFont="1" applyFill="1" applyAlignment="1">
      <alignment horizontal="center" wrapText="1"/>
    </xf>
    <xf numFmtId="0" fontId="3" fillId="7" borderId="0" xfId="0" applyFont="1" applyFill="1" applyBorder="1" applyAlignment="1">
      <alignment horizontal="center"/>
    </xf>
    <xf numFmtId="0" fontId="3" fillId="7" borderId="0" xfId="0" applyFont="1" applyFill="1" applyBorder="1" applyAlignment="1">
      <alignment horizontal="right"/>
    </xf>
    <xf numFmtId="165" fontId="3" fillId="7" borderId="0" xfId="1" applyNumberFormat="1" applyFont="1" applyFill="1" applyBorder="1" applyAlignment="1">
      <alignment horizontal="right"/>
    </xf>
    <xf numFmtId="169" fontId="3" fillId="7" borderId="0" xfId="0" applyNumberFormat="1" applyFont="1" applyFill="1" applyBorder="1" applyAlignment="1">
      <alignment horizontal="right"/>
    </xf>
    <xf numFmtId="0" fontId="14" fillId="2" borderId="0" xfId="0" applyFont="1" applyFill="1" applyAlignment="1">
      <alignment horizontal="center"/>
    </xf>
    <xf numFmtId="0" fontId="10" fillId="7" borderId="0" xfId="0" applyFont="1" applyFill="1"/>
    <xf numFmtId="169" fontId="10" fillId="7" borderId="12" xfId="0" applyNumberFormat="1" applyFont="1" applyFill="1" applyBorder="1" applyAlignment="1"/>
    <xf numFmtId="167" fontId="10" fillId="7" borderId="13" xfId="4" applyNumberFormat="1" applyFont="1" applyFill="1" applyBorder="1" applyAlignment="1">
      <alignment horizontal="center"/>
    </xf>
    <xf numFmtId="0" fontId="10" fillId="7" borderId="36" xfId="0" applyNumberFormat="1" applyFont="1" applyFill="1" applyBorder="1" applyAlignment="1">
      <alignment horizontal="center"/>
    </xf>
    <xf numFmtId="9" fontId="1" fillId="7" borderId="36" xfId="0" applyNumberFormat="1" applyFont="1" applyFill="1" applyBorder="1" applyAlignment="1">
      <alignment horizontal="center"/>
    </xf>
    <xf numFmtId="0" fontId="10" fillId="7" borderId="13" xfId="0" applyNumberFormat="1" applyFont="1" applyFill="1" applyBorder="1" applyAlignment="1">
      <alignment horizontal="center"/>
    </xf>
    <xf numFmtId="165" fontId="11" fillId="7" borderId="11" xfId="0" applyNumberFormat="1" applyFont="1" applyFill="1" applyBorder="1" applyAlignment="1">
      <alignment horizontal="center"/>
    </xf>
    <xf numFmtId="169" fontId="11" fillId="7" borderId="2" xfId="1" applyNumberFormat="1" applyFont="1" applyFill="1" applyBorder="1" applyAlignment="1">
      <alignment horizontal="right"/>
    </xf>
    <xf numFmtId="0" fontId="11" fillId="2" borderId="0" xfId="0" applyFont="1" applyFill="1" applyBorder="1" applyAlignment="1">
      <alignment horizontal="left" wrapText="1"/>
    </xf>
    <xf numFmtId="165" fontId="10" fillId="8" borderId="6" xfId="1" applyNumberFormat="1" applyFont="1" applyFill="1" applyBorder="1" applyAlignment="1">
      <alignment horizontal="center"/>
    </xf>
    <xf numFmtId="169" fontId="10" fillId="8" borderId="23" xfId="1" applyNumberFormat="1" applyFont="1" applyFill="1" applyBorder="1" applyAlignment="1">
      <alignment horizontal="right"/>
    </xf>
    <xf numFmtId="165" fontId="10" fillId="8" borderId="6" xfId="0" applyNumberFormat="1" applyFont="1" applyFill="1" applyBorder="1" applyAlignment="1">
      <alignment horizontal="center"/>
    </xf>
    <xf numFmtId="0" fontId="11" fillId="8" borderId="12" xfId="0" applyFont="1" applyFill="1" applyBorder="1"/>
    <xf numFmtId="0" fontId="11" fillId="8" borderId="12" xfId="0" applyFont="1" applyFill="1" applyBorder="1" applyAlignment="1">
      <alignment vertical="center" wrapText="1"/>
    </xf>
    <xf numFmtId="0" fontId="10" fillId="8" borderId="12" xfId="0" applyNumberFormat="1" applyFont="1" applyFill="1" applyBorder="1" applyAlignment="1">
      <alignment horizontal="center"/>
    </xf>
    <xf numFmtId="0" fontId="10" fillId="8" borderId="12" xfId="0" applyFont="1" applyFill="1" applyBorder="1" applyAlignment="1">
      <alignment horizontal="center"/>
    </xf>
    <xf numFmtId="169" fontId="10" fillId="8" borderId="12" xfId="0" applyNumberFormat="1" applyFont="1" applyFill="1" applyBorder="1" applyAlignment="1"/>
    <xf numFmtId="165" fontId="10" fillId="8" borderId="1" xfId="1" applyNumberFormat="1" applyFont="1" applyFill="1" applyBorder="1"/>
    <xf numFmtId="165" fontId="10" fillId="8" borderId="2" xfId="1" applyNumberFormat="1" applyFont="1" applyFill="1" applyBorder="1"/>
    <xf numFmtId="165" fontId="10" fillId="8" borderId="3" xfId="1" applyNumberFormat="1" applyFont="1" applyFill="1" applyBorder="1"/>
    <xf numFmtId="0" fontId="1" fillId="8" borderId="33" xfId="0" applyFont="1" applyFill="1" applyBorder="1" applyAlignment="1">
      <alignment horizontal="right"/>
    </xf>
    <xf numFmtId="0" fontId="1" fillId="8" borderId="20" xfId="0" applyFont="1" applyFill="1" applyBorder="1" applyAlignment="1">
      <alignment horizontal="right"/>
    </xf>
    <xf numFmtId="165" fontId="10" fillId="8" borderId="21" xfId="1" applyNumberFormat="1" applyFont="1" applyFill="1" applyBorder="1"/>
    <xf numFmtId="0" fontId="1" fillId="8" borderId="12" xfId="0" applyFont="1" applyFill="1" applyBorder="1" applyAlignment="1">
      <alignment horizontal="right"/>
    </xf>
    <xf numFmtId="0" fontId="1" fillId="8" borderId="14" xfId="0" applyFont="1" applyFill="1" applyBorder="1" applyAlignment="1">
      <alignment horizontal="right"/>
    </xf>
    <xf numFmtId="165" fontId="10" fillId="8" borderId="22" xfId="1" applyNumberFormat="1" applyFont="1" applyFill="1" applyBorder="1"/>
    <xf numFmtId="165" fontId="10" fillId="8" borderId="23" xfId="1" applyNumberFormat="1" applyFont="1" applyFill="1" applyBorder="1"/>
    <xf numFmtId="0" fontId="1" fillId="8" borderId="12" xfId="0" applyFont="1" applyFill="1" applyBorder="1" applyAlignment="1">
      <alignment horizontal="right" wrapText="1"/>
    </xf>
    <xf numFmtId="0" fontId="1" fillId="8" borderId="14" xfId="0" applyFont="1" applyFill="1" applyBorder="1" applyAlignment="1">
      <alignment horizontal="right" wrapText="1"/>
    </xf>
    <xf numFmtId="0" fontId="3" fillId="8" borderId="14" xfId="0" applyFont="1" applyFill="1" applyBorder="1" applyAlignment="1">
      <alignment horizontal="right"/>
    </xf>
    <xf numFmtId="0" fontId="11" fillId="8" borderId="14" xfId="0" applyFont="1" applyFill="1" applyBorder="1"/>
    <xf numFmtId="0" fontId="11" fillId="8" borderId="16" xfId="0" applyFont="1" applyFill="1" applyBorder="1"/>
    <xf numFmtId="0" fontId="11" fillId="8" borderId="15" xfId="0" applyFont="1" applyFill="1" applyBorder="1"/>
    <xf numFmtId="165" fontId="10" fillId="8" borderId="25" xfId="1" applyNumberFormat="1" applyFont="1" applyFill="1" applyBorder="1"/>
    <xf numFmtId="165" fontId="10" fillId="8" borderId="17" xfId="1" applyNumberFormat="1" applyFont="1" applyFill="1" applyBorder="1"/>
    <xf numFmtId="165" fontId="10" fillId="8" borderId="24" xfId="1" applyNumberFormat="1" applyFont="1" applyFill="1" applyBorder="1"/>
    <xf numFmtId="165" fontId="10" fillId="8" borderId="18" xfId="1" applyNumberFormat="1" applyFont="1" applyFill="1" applyBorder="1"/>
    <xf numFmtId="169" fontId="10" fillId="8" borderId="1" xfId="1" applyNumberFormat="1" applyFont="1" applyFill="1" applyBorder="1"/>
    <xf numFmtId="169" fontId="10" fillId="8" borderId="23" xfId="1" applyNumberFormat="1" applyFont="1" applyFill="1" applyBorder="1"/>
    <xf numFmtId="169" fontId="10" fillId="8" borderId="2" xfId="1" applyNumberFormat="1" applyFont="1" applyFill="1" applyBorder="1"/>
    <xf numFmtId="169" fontId="10" fillId="8" borderId="11" xfId="1" applyNumberFormat="1" applyFont="1" applyFill="1" applyBorder="1"/>
    <xf numFmtId="0" fontId="25" fillId="8" borderId="43" xfId="0" applyFont="1" applyFill="1" applyBorder="1" applyAlignment="1">
      <alignment vertical="center"/>
    </xf>
    <xf numFmtId="0" fontId="25" fillId="7" borderId="43" xfId="0" applyFont="1" applyFill="1" applyBorder="1" applyAlignment="1">
      <alignment vertical="center"/>
    </xf>
    <xf numFmtId="0" fontId="34" fillId="2" borderId="0" xfId="0" applyFont="1" applyFill="1" applyBorder="1" applyAlignment="1">
      <alignment horizontal="left"/>
    </xf>
    <xf numFmtId="0" fontId="3" fillId="2" borderId="0" xfId="0" applyFont="1" applyFill="1" applyAlignment="1">
      <alignment horizontal="center" wrapText="1"/>
    </xf>
    <xf numFmtId="0" fontId="10" fillId="7" borderId="0" xfId="0" applyFont="1" applyFill="1" applyAlignment="1">
      <alignment horizontal="center"/>
    </xf>
    <xf numFmtId="1" fontId="1" fillId="7" borderId="23" xfId="0" applyNumberFormat="1" applyFont="1" applyFill="1" applyBorder="1" applyAlignment="1">
      <alignment horizontal="right"/>
    </xf>
    <xf numFmtId="1" fontId="1" fillId="7" borderId="1" xfId="0" applyNumberFormat="1" applyFont="1" applyFill="1" applyBorder="1" applyAlignment="1">
      <alignment horizontal="right"/>
    </xf>
    <xf numFmtId="1" fontId="1" fillId="7" borderId="2" xfId="0" applyNumberFormat="1" applyFont="1" applyFill="1" applyBorder="1" applyAlignment="1">
      <alignment horizontal="right"/>
    </xf>
    <xf numFmtId="165" fontId="10" fillId="8" borderId="6" xfId="1" applyNumberFormat="1" applyFont="1" applyFill="1" applyBorder="1" applyAlignment="1">
      <alignment horizontal="center"/>
    </xf>
    <xf numFmtId="0" fontId="10" fillId="8" borderId="1" xfId="1" applyNumberFormat="1" applyFont="1" applyFill="1" applyBorder="1"/>
    <xf numFmtId="0" fontId="11" fillId="8" borderId="20" xfId="0" applyFont="1" applyFill="1" applyBorder="1" applyAlignment="1">
      <alignment horizontal="center"/>
    </xf>
    <xf numFmtId="168" fontId="12" fillId="8" borderId="14" xfId="0" applyNumberFormat="1" applyFont="1" applyFill="1" applyBorder="1" applyAlignment="1">
      <alignment horizontal="left"/>
    </xf>
    <xf numFmtId="168" fontId="10" fillId="8" borderId="14" xfId="0" applyNumberFormat="1" applyFont="1" applyFill="1" applyBorder="1" applyAlignment="1">
      <alignment horizontal="left"/>
    </xf>
    <xf numFmtId="0" fontId="11" fillId="8" borderId="14" xfId="0" applyFont="1" applyFill="1" applyBorder="1" applyAlignment="1">
      <alignment horizontal="left"/>
    </xf>
    <xf numFmtId="0" fontId="10" fillId="8" borderId="14" xfId="0" applyFont="1" applyFill="1" applyBorder="1" applyAlignment="1">
      <alignment horizontal="left"/>
    </xf>
    <xf numFmtId="0" fontId="9" fillId="8" borderId="15" xfId="3" applyFill="1" applyBorder="1" applyAlignment="1" applyProtection="1">
      <alignment horizontal="left"/>
    </xf>
    <xf numFmtId="0" fontId="10" fillId="8" borderId="15" xfId="0" applyFont="1" applyFill="1" applyBorder="1" applyAlignment="1">
      <alignment horizontal="left"/>
    </xf>
    <xf numFmtId="0" fontId="11" fillId="7" borderId="19" xfId="0" applyFont="1" applyFill="1" applyBorder="1" applyAlignment="1">
      <alignment horizontal="center"/>
    </xf>
    <xf numFmtId="0" fontId="10" fillId="2" borderId="30"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1" xfId="0" applyFont="1" applyFill="1" applyBorder="1" applyAlignment="1">
      <alignment horizontal="center"/>
    </xf>
    <xf numFmtId="0" fontId="11" fillId="2" borderId="30" xfId="0" applyFont="1" applyFill="1" applyBorder="1" applyAlignment="1"/>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 fillId="2" borderId="0" xfId="0" applyFont="1" applyFill="1" applyBorder="1" applyAlignment="1">
      <alignment horizontal="right" wrapText="1"/>
    </xf>
    <xf numFmtId="0" fontId="11" fillId="7" borderId="10" xfId="0" applyFont="1" applyFill="1" applyBorder="1" applyAlignment="1">
      <alignment horizontal="center"/>
    </xf>
    <xf numFmtId="0" fontId="10" fillId="7" borderId="1" xfId="0" applyFont="1" applyFill="1" applyBorder="1" applyAlignment="1"/>
    <xf numFmtId="0" fontId="10" fillId="7"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0" fontId="3" fillId="2" borderId="31" xfId="0" applyFont="1" applyFill="1" applyBorder="1" applyAlignment="1">
      <alignment horizontal="left"/>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168" fontId="10" fillId="8" borderId="14" xfId="0" applyNumberFormat="1" applyFont="1" applyFill="1" applyBorder="1" applyAlignment="1">
      <alignment horizontal="center"/>
    </xf>
    <xf numFmtId="0" fontId="10" fillId="8" borderId="14" xfId="0" applyFont="1" applyFill="1" applyBorder="1" applyAlignment="1">
      <alignment horizontal="center"/>
    </xf>
    <xf numFmtId="0" fontId="9" fillId="8" borderId="15" xfId="3" applyFill="1" applyBorder="1" applyAlignment="1" applyProtection="1">
      <alignment horizontal="center"/>
    </xf>
    <xf numFmtId="0" fontId="10" fillId="8" borderId="15" xfId="0" applyFont="1" applyFill="1" applyBorder="1" applyAlignment="1">
      <alignment horizontal="center"/>
    </xf>
    <xf numFmtId="165" fontId="10" fillId="8" borderId="17" xfId="1" applyNumberFormat="1" applyFont="1" applyFill="1" applyBorder="1" applyAlignment="1">
      <alignment horizontal="center"/>
    </xf>
    <xf numFmtId="165" fontId="10" fillId="8" borderId="20" xfId="1" applyNumberFormat="1" applyFont="1" applyFill="1" applyBorder="1" applyAlignment="1">
      <alignment horizontal="center"/>
    </xf>
    <xf numFmtId="165" fontId="10" fillId="8" borderId="10" xfId="1" applyNumberFormat="1" applyFont="1" applyFill="1" applyBorder="1" applyAlignment="1">
      <alignment horizontal="center"/>
    </xf>
    <xf numFmtId="165" fontId="10" fillId="8" borderId="24" xfId="1" applyNumberFormat="1" applyFont="1" applyFill="1" applyBorder="1" applyAlignment="1">
      <alignment horizontal="center"/>
    </xf>
    <xf numFmtId="165" fontId="10" fillId="8" borderId="14"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1" xfId="0" applyFont="1" applyFill="1" applyBorder="1" applyAlignment="1">
      <alignment horizontal="center"/>
    </xf>
    <xf numFmtId="0" fontId="10" fillId="7" borderId="2" xfId="0" applyFont="1" applyFill="1" applyBorder="1" applyAlignment="1">
      <alignment horizontal="center"/>
    </xf>
    <xf numFmtId="0" fontId="10" fillId="7" borderId="18" xfId="0" applyFont="1" applyFill="1" applyBorder="1" applyAlignment="1">
      <alignment horizontal="center"/>
    </xf>
    <xf numFmtId="165" fontId="10" fillId="8" borderId="18" xfId="1" applyNumberFormat="1" applyFont="1" applyFill="1" applyBorder="1" applyAlignment="1">
      <alignment horizontal="center"/>
    </xf>
    <xf numFmtId="165" fontId="10" fillId="8" borderId="15" xfId="1" applyNumberFormat="1" applyFont="1" applyFill="1" applyBorder="1" applyAlignment="1">
      <alignment horizontal="center"/>
    </xf>
    <xf numFmtId="165" fontId="10" fillId="8" borderId="11" xfId="1" applyNumberFormat="1" applyFont="1" applyFill="1" applyBorder="1" applyAlignment="1">
      <alignment horizontal="center"/>
    </xf>
    <xf numFmtId="0" fontId="14" fillId="2" borderId="31" xfId="0"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56</xdr:row>
      <xdr:rowOff>7620</xdr:rowOff>
    </xdr:to>
    <xdr:sp macro="" textlink="">
      <xdr:nvSpPr>
        <xdr:cNvPr id="3" name="TextBox 2"/>
        <xdr:cNvSpPr txBox="1"/>
      </xdr:nvSpPr>
      <xdr:spPr>
        <a:xfrm>
          <a:off x="213360" y="7185661"/>
          <a:ext cx="6979920" cy="3863339"/>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a:solidFill>
                <a:schemeClr val="dk1"/>
              </a:solidFill>
              <a:latin typeface="+mn-lt"/>
              <a:ea typeface="+mn-ea"/>
              <a:cs typeface="+mn-cs"/>
            </a:rPr>
            <a:t>The Company’s energy efficiency acquisition targets for the 2014-2015 Biennium were based upon a Conservation Potential Assessment (CPA) completed as part of Avista’s 2013 Electric Integrated Resource Plan (IRP) by a third-party consultant applying methodologies consistent with the Northwest Power and Conservation Council’s (NWPCC) Sixth Power Plan. </a:t>
          </a:r>
        </a:p>
        <a:p>
          <a:pPr eaLnBrk="1" fontAlgn="auto" latinLnBrk="0" hangingPunct="1"/>
          <a:r>
            <a:rPr lang="en-US" sz="1100">
              <a:solidFill>
                <a:schemeClr val="dk1"/>
              </a:solidFill>
              <a:latin typeface="+mn-lt"/>
              <a:ea typeface="+mn-ea"/>
              <a:cs typeface="+mn-cs"/>
            </a:rPr>
            <a:t> Avista's 2014-2015 targets were approved in Order No. 01, Docket No. UE-132045, by the Washington Utilities and Transportation Commission (UTC) on December 19, 2013.  </a:t>
          </a:r>
          <a:r>
            <a:rPr lang="en-US" sz="1100" u="sng">
              <a:solidFill>
                <a:schemeClr val="dk1"/>
              </a:solidFill>
              <a:latin typeface="+mn-lt"/>
              <a:ea typeface="+mn-ea"/>
              <a:cs typeface="+mn-cs"/>
            </a:rPr>
            <a:t>http://www.utc.wa.gov/docs/Pages/DocketLookup.aspx?FilingID=132045</a:t>
          </a:r>
          <a:endParaRPr lang="en-US"/>
        </a:p>
        <a:p>
          <a:pPr eaLnBrk="1" fontAlgn="auto" latinLnBrk="0" hangingPunct="1"/>
          <a:r>
            <a:rPr lang="en-US" sz="1100">
              <a:solidFill>
                <a:schemeClr val="dk1"/>
              </a:solidFill>
              <a:latin typeface="+mn-lt"/>
              <a:ea typeface="+mn-ea"/>
              <a:cs typeface="+mn-cs"/>
            </a:rPr>
            <a:t>General rate case settlement in</a:t>
          </a:r>
          <a:r>
            <a:rPr lang="en-US" sz="1100" baseline="0">
              <a:solidFill>
                <a:schemeClr val="dk1"/>
              </a:solidFill>
              <a:latin typeface="+mn-lt"/>
              <a:ea typeface="+mn-ea"/>
              <a:cs typeface="+mn-cs"/>
            </a:rPr>
            <a:t> </a:t>
          </a:r>
          <a:r>
            <a:rPr lang="en-US" sz="1100">
              <a:solidFill>
                <a:schemeClr val="dk1"/>
              </a:solidFill>
              <a:latin typeface="+mn-lt"/>
              <a:ea typeface="+mn-ea"/>
              <a:cs typeface="+mn-cs"/>
            </a:rPr>
            <a:t>2014 included a 5% increase in the 2014-15 Biennial Target</a:t>
          </a:r>
          <a:r>
            <a:rPr lang="en-US" sz="1100" baseline="0">
              <a:solidFill>
                <a:schemeClr val="dk1"/>
              </a:solidFill>
              <a:latin typeface="+mn-lt"/>
              <a:ea typeface="+mn-ea"/>
              <a:cs typeface="+mn-cs"/>
            </a:rPr>
            <a:t> for local energy savings.</a:t>
          </a:r>
          <a:endParaRPr lang="en-US"/>
        </a:p>
        <a:p>
          <a:pPr eaLnBrk="1" fontAlgn="auto" latinLnBrk="0" hangingPunct="1"/>
          <a:r>
            <a:rPr lang="en-US" sz="1100" baseline="0">
              <a:solidFill>
                <a:schemeClr val="dk1"/>
              </a:solidFill>
              <a:latin typeface="+mn-lt"/>
              <a:ea typeface="+mn-ea"/>
              <a:cs typeface="+mn-cs"/>
            </a:rPr>
            <a:t>64,956 MWh original target + 3,248 MWh (5% increase) = 68,204 MWh (local)</a:t>
          </a:r>
          <a:endParaRPr lang="en-US"/>
        </a:p>
        <a:p>
          <a:pPr eaLnBrk="1" fontAlgn="auto" latinLnBrk="0" hangingPunct="1"/>
          <a:r>
            <a:rPr lang="en-US" sz="1100" baseline="0">
              <a:solidFill>
                <a:schemeClr val="dk1"/>
              </a:solidFill>
              <a:latin typeface="+mn-lt"/>
              <a:ea typeface="+mn-ea"/>
              <a:cs typeface="+mn-cs"/>
            </a:rPr>
            <a:t>68,204 MWh (local) + 11,130 (NEEA) = 79,334 new 2014-15 Biennial Target</a:t>
          </a:r>
          <a:endParaRPr lang="en-US" sz="1100">
            <a:solidFill>
              <a:schemeClr val="dk1"/>
            </a:solidFill>
            <a:latin typeface="+mn-lt"/>
            <a:ea typeface="+mn-ea"/>
            <a:cs typeface="+mn-cs"/>
          </a:endParaRPr>
        </a:p>
        <a:p>
          <a:pPr eaLnBrk="1" fontAlgn="auto" latinLnBrk="0" hangingPunct="1"/>
          <a:endParaRPr lang="en-US" sz="1100">
            <a:solidFill>
              <a:schemeClr val="dk1"/>
            </a:solidFill>
            <a:latin typeface="+mn-lt"/>
            <a:ea typeface="+mn-ea"/>
            <a:cs typeface="+mn-cs"/>
          </a:endParaRPr>
        </a:p>
        <a:p>
          <a:pPr eaLnBrk="1" fontAlgn="auto" latinLnBrk="0" hangingPunct="1"/>
          <a:r>
            <a:rPr lang="en-US" sz="1100">
              <a:solidFill>
                <a:schemeClr val="dk1"/>
              </a:solidFill>
              <a:latin typeface="+mn-lt"/>
              <a:ea typeface="+mn-ea"/>
              <a:cs typeface="+mn-cs"/>
            </a:rPr>
            <a:t>2014</a:t>
          </a:r>
          <a:r>
            <a:rPr lang="en-US" sz="1100" baseline="0">
              <a:solidFill>
                <a:schemeClr val="dk1"/>
              </a:solidFill>
              <a:latin typeface="+mn-lt"/>
              <a:ea typeface="+mn-ea"/>
              <a:cs typeface="+mn-cs"/>
            </a:rPr>
            <a:t> energy savings are unverifed.  </a:t>
          </a:r>
          <a:r>
            <a:rPr lang="en-US" sz="1100" b="0" i="0">
              <a:solidFill>
                <a:schemeClr val="dk1"/>
              </a:solidFill>
              <a:latin typeface="+mn-lt"/>
              <a:ea typeface="+mn-ea"/>
              <a:cs typeface="+mn-cs"/>
            </a:rPr>
            <a:t>Energy savings will be evaluated on a 2014-2015 biennial basis by a third party. Savings numbers are for I-937 and will not include fuel switching.</a:t>
          </a:r>
          <a:r>
            <a:rPr lang="en-US" sz="1100">
              <a:solidFill>
                <a:schemeClr val="dk1"/>
              </a:solidFill>
              <a:latin typeface="+mn-lt"/>
              <a:ea typeface="+mn-ea"/>
              <a:cs typeface="+mn-cs"/>
            </a:rPr>
            <a:t> </a:t>
          </a:r>
          <a:r>
            <a:rPr lang="en-US" sz="1100" b="0" i="0">
              <a:solidFill>
                <a:schemeClr val="dk1"/>
              </a:solidFill>
              <a:latin typeface="+mn-lt"/>
              <a:ea typeface="+mn-ea"/>
              <a:cs typeface="+mn-cs"/>
            </a:rPr>
            <a:t> </a:t>
          </a:r>
          <a:endParaRPr lang="en-US"/>
        </a:p>
        <a:p>
          <a:endParaRPr lang="en-US" sz="1100" b="0" i="0">
            <a:solidFill>
              <a:schemeClr val="dk1"/>
            </a:solidFill>
            <a:latin typeface="+mn-lt"/>
            <a:ea typeface="+mn-ea"/>
            <a:cs typeface="+mn-cs"/>
          </a:endParaRPr>
        </a:p>
        <a:p>
          <a:r>
            <a:rPr lang="en-US" sz="1100" b="0" i="0">
              <a:solidFill>
                <a:schemeClr val="dk1"/>
              </a:solidFill>
              <a:latin typeface="+mn-lt"/>
              <a:ea typeface="+mn-ea"/>
              <a:cs typeface="+mn-cs"/>
            </a:rPr>
            <a:t>NEEA savings will be determined and reported on</a:t>
          </a:r>
          <a:r>
            <a:rPr lang="en-US" sz="1100" b="0" i="0" baseline="0">
              <a:solidFill>
                <a:schemeClr val="dk1"/>
              </a:solidFill>
              <a:latin typeface="+mn-lt"/>
              <a:ea typeface="+mn-ea"/>
              <a:cs typeface="+mn-cs"/>
            </a:rPr>
            <a:t> a biennial basis at the end of the 2014-2015 biennium.</a:t>
          </a:r>
          <a:endParaRPr lang="en-US" sz="1100" b="0" i="0">
            <a:solidFill>
              <a:schemeClr val="dk1"/>
            </a:solidFill>
            <a:latin typeface="+mn-lt"/>
            <a:ea typeface="+mn-ea"/>
            <a:cs typeface="+mn-cs"/>
          </a:endParaRPr>
        </a:p>
        <a:p>
          <a:endParaRPr lang="en-US" sz="1100" b="0" i="0">
            <a:solidFill>
              <a:schemeClr val="dk1"/>
            </a:solidFill>
            <a:latin typeface="+mn-lt"/>
            <a:ea typeface="+mn-ea"/>
            <a:cs typeface="+mn-cs"/>
          </a:endParaRPr>
        </a:p>
        <a:p>
          <a:r>
            <a:rPr lang="en-US" sz="1100" b="0" i="0">
              <a:solidFill>
                <a:schemeClr val="dk1"/>
              </a:solidFill>
              <a:latin typeface="+mn-lt"/>
              <a:ea typeface="+mn-ea"/>
              <a:cs typeface="+mn-cs"/>
            </a:rPr>
            <a:t>Commercial and Industrial customers are not tracked separately and are therefore listed under "Commercial."</a:t>
          </a:r>
          <a:endParaRPr lang="en-US"/>
        </a:p>
        <a:p>
          <a:endParaRPr lang="en-US" sz="1100" b="0" i="0">
            <a:solidFill>
              <a:schemeClr val="dk1"/>
            </a:solidFill>
            <a:latin typeface="+mn-lt"/>
            <a:ea typeface="+mn-ea"/>
            <a:cs typeface="+mn-cs"/>
          </a:endParaRPr>
        </a:p>
        <a:p>
          <a:r>
            <a:rPr lang="en-US" sz="1100" b="0" i="0">
              <a:solidFill>
                <a:schemeClr val="dk1"/>
              </a:solidFill>
              <a:latin typeface="+mn-lt"/>
              <a:ea typeface="+mn-ea"/>
              <a:cs typeface="+mn-cs"/>
            </a:rPr>
            <a:t>Expenditures for distribution savings are</a:t>
          </a:r>
          <a:r>
            <a:rPr lang="en-US" sz="1100" b="0" i="0" baseline="0">
              <a:solidFill>
                <a:schemeClr val="dk1"/>
              </a:solidFill>
              <a:latin typeface="+mn-lt"/>
              <a:ea typeface="+mn-ea"/>
              <a:cs typeface="+mn-cs"/>
            </a:rPr>
            <a:t> part of the capital budget and not known specifically.</a:t>
          </a:r>
          <a:endParaRPr lang="en-US"/>
        </a:p>
        <a:p>
          <a:endParaRPr lang="en-US" sz="1100" b="0" i="0">
            <a:solidFill>
              <a:schemeClr val="dk1"/>
            </a:solidFill>
            <a:latin typeface="+mn-lt"/>
            <a:ea typeface="+mn-ea"/>
            <a:cs typeface="+mn-cs"/>
          </a:endParaRPr>
        </a:p>
        <a:p>
          <a:r>
            <a:rPr lang="en-US" sz="1100" b="0" i="0">
              <a:solidFill>
                <a:schemeClr val="dk1"/>
              </a:solidFill>
              <a:latin typeface="+mn-lt"/>
              <a:ea typeface="+mn-ea"/>
              <a:cs typeface="+mn-cs"/>
            </a:rPr>
            <a:t>General expenditures are not applied to a specific sector. </a:t>
          </a:r>
          <a:endParaRPr lang="en-US" sz="1100"/>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4" name="TextBox 3"/>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161925</xdr:colOff>
      <xdr:row>115</xdr:row>
      <xdr:rowOff>123825</xdr:rowOff>
    </xdr:from>
    <xdr:to>
      <xdr:col>14</xdr:col>
      <xdr:colOff>647701</xdr:colOff>
      <xdr:row>135</xdr:row>
      <xdr:rowOff>38100</xdr:rowOff>
    </xdr:to>
    <xdr:sp macro="" textlink="">
      <xdr:nvSpPr>
        <xdr:cNvPr id="3" name="TextBox 2"/>
        <xdr:cNvSpPr txBox="1"/>
      </xdr:nvSpPr>
      <xdr:spPr>
        <a:xfrm>
          <a:off x="161925" y="23002875"/>
          <a:ext cx="11191876" cy="23431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The</a:t>
          </a:r>
          <a:r>
            <a:rPr lang="en-US" baseline="0"/>
            <a:t>re are no RECs to report for the Wanapum Fish Bypass because the water level for the hydroelectric project was lowered from February 2014 through March 2015 to facilitate repairs to the spillway.</a:t>
          </a:r>
        </a:p>
        <a:p>
          <a:endParaRPr lang="en-US" baseline="0"/>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In 2008, Avista purchased 50,000 renewable energy certificates per year generated from the Stateline Wind Project for the 2012 through 2015 period to comply with RCW Chapter 19.285 requirements. Avista sold the renewable energy certificates for 2012 through 2014 because they became surplus of the Company’s needs in 2011 with the acquisition of the Palouse Wind Power Purchase Agreement and decisions concerning the need for reserves for qualifying hydroelectric upgrades. Avista retained the 2015 renewable energy certificates since they are eligible for 2016 compliance obligations.  The 50,000 renewable energy certificates purchased from the Stateline Wind Project for 2014 are not included in this filing because they have already been sold and are not being submitted for compliance</a:t>
          </a:r>
          <a:r>
            <a:rPr lang="en-US" sz="1100" baseline="0">
              <a:solidFill>
                <a:schemeClr val="dk1"/>
              </a:solidFill>
              <a:latin typeface="+mn-lt"/>
              <a:ea typeface="+mn-ea"/>
              <a:cs typeface="+mn-cs"/>
            </a:rPr>
            <a:t>.</a:t>
          </a:r>
          <a:endParaRPr lang="en-US" sz="1100">
            <a:solidFill>
              <a:schemeClr val="dk1"/>
            </a:solidFill>
            <a:latin typeface="+mn-lt"/>
            <a:ea typeface="+mn-ea"/>
            <a:cs typeface="+mn-cs"/>
          </a:endParaRPr>
        </a:p>
        <a:p>
          <a:endParaRPr lang="en-US"/>
        </a:p>
        <a:p>
          <a:r>
            <a:rPr lang="en-US"/>
            <a:t>Washington</a:t>
          </a:r>
          <a:r>
            <a:rPr lang="en-US" baseline="0"/>
            <a:t> revenue requirement is from 2014, which is the current revenue requirement in place at the time this report was developed. This number is adjusted to account for the transfer to Idaho for  incremental hydro and Palouse  RECs.</a:t>
          </a:r>
          <a:endParaRPr lang="en-US"/>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63</xdr:row>
      <xdr:rowOff>0</xdr:rowOff>
    </xdr:from>
    <xdr:to>
      <xdr:col>12</xdr:col>
      <xdr:colOff>0</xdr:colOff>
      <xdr:row>75</xdr:row>
      <xdr:rowOff>152400</xdr:rowOff>
    </xdr:to>
    <xdr:sp macro="" textlink="">
      <xdr:nvSpPr>
        <xdr:cNvPr id="2" name="TextBox 1"/>
        <xdr:cNvSpPr txBox="1"/>
      </xdr:nvSpPr>
      <xdr:spPr>
        <a:xfrm>
          <a:off x="180975" y="12611100"/>
          <a:ext cx="10296526"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Avista calculated the incremental cost of investments made to meet RCW Chapter 19.285, by taking the annual levelized revenue requirement ($/MWh) for each qualifying project compared to the cost of alternative power over the same period. Each qualifying resource is compared to a combined cycle combustion turbine (CCCT). To estimate the annual levelized cost of the CCCT, cost assumptions are used based upon the IRP from the time of the resource decision with costs split between energy ($/MWh) and capacity ($/kW-year).  Avista includes any REC sales as a reduction to the incremental cost calculation. The Company also includes an adjustment to account for the value of RECs transferred from Idaho to Washington. In total, the change in revenue requirement is -0.72 percent due to the savings in hydro upgrade investments. Appendix B shows the calculation of this incremental cost for the qualified renewable resources. The supporting documentation and spreadsheets are located in the confidential work papers for this filing.</a:t>
          </a:r>
          <a:endParaRPr lang="en-US"/>
        </a:p>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mailto:mark.baker@avistacorp.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1.xml"/><Relationship Id="rId2" Type="http://schemas.openxmlformats.org/officeDocument/2006/relationships/printerSettings" Target="../printerSettings/printerSettings4.bin"/><Relationship Id="rId1" Type="http://schemas.openxmlformats.org/officeDocument/2006/relationships/hyperlink" Target="mailto:john.lyons@avistacorp.com" TargetMode="External"/><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6"/>
    <pageSetUpPr fitToPage="1"/>
  </sheetPr>
  <dimension ref="A1:N57"/>
  <sheetViews>
    <sheetView tabSelected="1" topLeftCell="A40" workbookViewId="0">
      <selection activeCell="A43" sqref="A43"/>
    </sheetView>
  </sheetViews>
  <sheetFormatPr defaultRowHeight="15"/>
  <cols>
    <col min="1" max="1" width="135.140625" customWidth="1"/>
    <col min="14" max="14" width="11.7109375" customWidth="1"/>
  </cols>
  <sheetData>
    <row r="1" spans="1:14" ht="18.75">
      <c r="A1" s="75" t="s">
        <v>107</v>
      </c>
    </row>
    <row r="2" spans="1:14">
      <c r="A2" s="92" t="s">
        <v>119</v>
      </c>
    </row>
    <row r="3" spans="1:14">
      <c r="A3" s="76"/>
      <c r="N3" s="91"/>
    </row>
    <row r="4" spans="1:14">
      <c r="A4" s="77" t="s">
        <v>120</v>
      </c>
    </row>
    <row r="5" spans="1:14">
      <c r="A5" s="77" t="s">
        <v>189</v>
      </c>
      <c r="N5">
        <f>IF(REN_Load_2013+REN_Load_2014&gt;0,AVERAGE(REN_Load_2013,REN_Load_2014),0)</f>
        <v>5682413</v>
      </c>
    </row>
    <row r="6" spans="1:14">
      <c r="A6" s="78" t="s">
        <v>108</v>
      </c>
    </row>
    <row r="7" spans="1:14">
      <c r="A7" s="76"/>
    </row>
    <row r="8" spans="1:14" ht="57">
      <c r="A8" s="79" t="s">
        <v>178</v>
      </c>
    </row>
    <row r="9" spans="1:14">
      <c r="A9" s="79"/>
    </row>
    <row r="10" spans="1:14">
      <c r="A10" s="80" t="s">
        <v>179</v>
      </c>
    </row>
    <row r="11" spans="1:14">
      <c r="A11" s="80"/>
    </row>
    <row r="12" spans="1:14">
      <c r="A12" s="154" t="s">
        <v>180</v>
      </c>
    </row>
    <row r="13" spans="1:14">
      <c r="A13" s="155" t="s">
        <v>181</v>
      </c>
    </row>
    <row r="14" spans="1:14" ht="44.25">
      <c r="A14" s="81" t="s">
        <v>182</v>
      </c>
    </row>
    <row r="15" spans="1:14">
      <c r="A15" s="76"/>
    </row>
    <row r="16" spans="1:14" ht="29.25">
      <c r="A16" s="78" t="s">
        <v>109</v>
      </c>
    </row>
    <row r="17" spans="1:1">
      <c r="A17" s="76"/>
    </row>
    <row r="18" spans="1:1" ht="18.75">
      <c r="A18" s="82" t="s">
        <v>110</v>
      </c>
    </row>
    <row r="19" spans="1:1" ht="57.75" customHeight="1">
      <c r="A19" s="77" t="s">
        <v>123</v>
      </c>
    </row>
    <row r="20" spans="1:1">
      <c r="A20" s="76"/>
    </row>
    <row r="21" spans="1:1">
      <c r="A21" s="83" t="s">
        <v>111</v>
      </c>
    </row>
    <row r="22" spans="1:1" ht="29.25">
      <c r="A22" s="84" t="s">
        <v>157</v>
      </c>
    </row>
    <row r="23" spans="1:1">
      <c r="A23" s="76"/>
    </row>
    <row r="24" spans="1:1" ht="43.5">
      <c r="A24" s="77" t="s">
        <v>158</v>
      </c>
    </row>
    <row r="25" spans="1:1">
      <c r="A25" s="85"/>
    </row>
    <row r="26" spans="1:1" ht="42.75">
      <c r="A26" s="81" t="s">
        <v>112</v>
      </c>
    </row>
    <row r="27" spans="1:1">
      <c r="A27" s="76"/>
    </row>
    <row r="28" spans="1:1" ht="43.5">
      <c r="A28" s="78" t="s">
        <v>183</v>
      </c>
    </row>
    <row r="29" spans="1:1">
      <c r="A29" s="76"/>
    </row>
    <row r="30" spans="1:1">
      <c r="A30" s="78" t="s">
        <v>184</v>
      </c>
    </row>
    <row r="31" spans="1:1">
      <c r="A31" s="76"/>
    </row>
    <row r="32" spans="1:1" ht="18.75">
      <c r="A32" s="82" t="s">
        <v>113</v>
      </c>
    </row>
    <row r="33" spans="1:1" ht="42.75">
      <c r="A33" s="81" t="s">
        <v>114</v>
      </c>
    </row>
    <row r="34" spans="1:1">
      <c r="A34" s="76"/>
    </row>
    <row r="35" spans="1:1" ht="43.5">
      <c r="A35" s="78" t="s">
        <v>185</v>
      </c>
    </row>
    <row r="36" spans="1:1">
      <c r="A36" s="76"/>
    </row>
    <row r="37" spans="1:1" ht="43.5">
      <c r="A37" s="78" t="s">
        <v>115</v>
      </c>
    </row>
    <row r="38" spans="1:1">
      <c r="A38" s="76"/>
    </row>
    <row r="39" spans="1:1" ht="43.5">
      <c r="A39" s="78" t="s">
        <v>186</v>
      </c>
    </row>
    <row r="40" spans="1:1">
      <c r="A40" s="76"/>
    </row>
    <row r="41" spans="1:1">
      <c r="A41" s="77" t="s">
        <v>159</v>
      </c>
    </row>
    <row r="42" spans="1:1" ht="28.5">
      <c r="A42" s="81" t="s">
        <v>161</v>
      </c>
    </row>
    <row r="43" spans="1:1" ht="43.5">
      <c r="A43" s="81" t="s">
        <v>160</v>
      </c>
    </row>
    <row r="44" spans="1:1">
      <c r="A44" s="76"/>
    </row>
    <row r="45" spans="1:1" ht="57.75">
      <c r="A45" s="86" t="s">
        <v>187</v>
      </c>
    </row>
    <row r="46" spans="1:1">
      <c r="A46" s="76"/>
    </row>
    <row r="47" spans="1:1" ht="74.25" customHeight="1">
      <c r="A47" s="78" t="s">
        <v>188</v>
      </c>
    </row>
    <row r="48" spans="1:1">
      <c r="A48" s="76"/>
    </row>
    <row r="49" spans="1:1" ht="57.75">
      <c r="A49" s="78" t="s">
        <v>162</v>
      </c>
    </row>
    <row r="50" spans="1:1">
      <c r="A50" s="76"/>
    </row>
    <row r="51" spans="1:1">
      <c r="A51" s="77" t="s">
        <v>116</v>
      </c>
    </row>
    <row r="52" spans="1:1" ht="28.5">
      <c r="A52" s="81" t="s">
        <v>163</v>
      </c>
    </row>
    <row r="53" spans="1:1">
      <c r="A53" s="76"/>
    </row>
    <row r="54" spans="1:1">
      <c r="A54" s="77" t="s">
        <v>117</v>
      </c>
    </row>
    <row r="55" spans="1:1" ht="28.5">
      <c r="A55" s="81" t="s">
        <v>164</v>
      </c>
    </row>
    <row r="56" spans="1:1">
      <c r="A56" s="76"/>
    </row>
    <row r="57" spans="1:1" ht="15.75" thickBot="1">
      <c r="A57" s="87" t="s">
        <v>118</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sheetPr>
    <tabColor rgb="FF00B0F0"/>
    <pageSetUpPr fitToPage="1"/>
  </sheetPr>
  <dimension ref="A1:N7"/>
  <sheetViews>
    <sheetView workbookViewId="0">
      <selection activeCell="A11" sqref="A11"/>
    </sheetView>
  </sheetViews>
  <sheetFormatPr defaultRowHeight="15"/>
  <cols>
    <col min="1" max="1" width="107" customWidth="1"/>
    <col min="14" max="14" width="11.7109375" customWidth="1"/>
  </cols>
  <sheetData>
    <row r="1" spans="1:14" ht="18.75">
      <c r="A1" s="71" t="s">
        <v>190</v>
      </c>
    </row>
    <row r="2" spans="1:14" ht="18.75">
      <c r="A2" s="72"/>
    </row>
    <row r="3" spans="1:14" ht="57">
      <c r="A3" s="73" t="s">
        <v>191</v>
      </c>
      <c r="N3" s="91"/>
    </row>
    <row r="4" spans="1:14">
      <c r="A4" s="73"/>
      <c r="N4" s="91"/>
    </row>
    <row r="5" spans="1:14" ht="86.25">
      <c r="A5" s="73" t="s">
        <v>122</v>
      </c>
      <c r="N5" s="91"/>
    </row>
    <row r="6" spans="1:14">
      <c r="A6" s="73"/>
    </row>
    <row r="7" spans="1:14" ht="29.25" thickBot="1">
      <c r="A7" s="74" t="s">
        <v>121</v>
      </c>
      <c r="N7">
        <f>IF(REN_Load_2013+REN_Load_2014&gt;0,AVERAGE(REN_Load_2013,REN_Load_2014),0)</f>
        <v>5682413</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sheetPr codeName="Sheet1">
    <tabColor theme="6"/>
    <pageSetUpPr fitToPage="1"/>
  </sheetPr>
  <dimension ref="A1:M33"/>
  <sheetViews>
    <sheetView zoomScaleNormal="100" workbookViewId="0">
      <selection activeCell="D2" sqref="D2"/>
    </sheetView>
  </sheetViews>
  <sheetFormatPr defaultColWidth="9.140625" defaultRowHeight="12.75"/>
  <cols>
    <col min="1" max="1" width="3.140625" style="1" customWidth="1"/>
    <col min="2" max="3" width="16.7109375" style="1" customWidth="1"/>
    <col min="4" max="4" width="17.140625" style="1" customWidth="1"/>
    <col min="5" max="5" width="16" style="1" customWidth="1"/>
    <col min="6" max="6" width="4.42578125" style="1" customWidth="1"/>
    <col min="7" max="7" width="14.42578125" style="1" customWidth="1"/>
    <col min="8" max="8" width="15.28515625" style="1" customWidth="1"/>
    <col min="9" max="9" width="12.28515625" style="1" customWidth="1"/>
    <col min="10" max="10" width="11.140625" style="1" customWidth="1"/>
    <col min="11" max="12" width="9.140625" style="1"/>
    <col min="13" max="13" width="11.7109375" style="1" customWidth="1"/>
    <col min="14" max="16384" width="9.140625" style="1"/>
  </cols>
  <sheetData>
    <row r="1" spans="1:13" s="7" customFormat="1" ht="19.5">
      <c r="B1" s="57" t="s">
        <v>125</v>
      </c>
    </row>
    <row r="2" spans="1:13" ht="15" customHeight="1">
      <c r="B2" s="2"/>
    </row>
    <row r="3" spans="1:13" ht="14.25" customHeight="1">
      <c r="B3" s="3" t="s">
        <v>4</v>
      </c>
      <c r="C3" s="164" t="s">
        <v>197</v>
      </c>
      <c r="D3" s="164"/>
      <c r="E3" s="164"/>
      <c r="M3" s="90"/>
    </row>
    <row r="4" spans="1:13" ht="15" customHeight="1">
      <c r="B4" s="4" t="s">
        <v>65</v>
      </c>
      <c r="C4" s="165"/>
      <c r="D4" s="166"/>
      <c r="E4" s="166"/>
      <c r="F4" s="13"/>
    </row>
    <row r="5" spans="1:13" ht="15" customHeight="1">
      <c r="B5" s="5" t="s">
        <v>64</v>
      </c>
      <c r="C5" s="167" t="s">
        <v>198</v>
      </c>
      <c r="D5" s="168"/>
      <c r="E5" s="168"/>
      <c r="F5" s="7"/>
    </row>
    <row r="6" spans="1:13" ht="15" customHeight="1">
      <c r="B6" s="5" t="s">
        <v>1</v>
      </c>
      <c r="C6" s="168" t="s">
        <v>199</v>
      </c>
      <c r="D6" s="168"/>
      <c r="E6" s="168"/>
      <c r="F6" s="7"/>
    </row>
    <row r="7" spans="1:13" ht="15" customHeight="1">
      <c r="B7" s="5" t="s">
        <v>2</v>
      </c>
      <c r="C7" s="169" t="s">
        <v>200</v>
      </c>
      <c r="D7" s="170"/>
      <c r="E7" s="170"/>
      <c r="F7" s="7"/>
    </row>
    <row r="8" spans="1:13" ht="15" customHeight="1" thickBot="1">
      <c r="B8" s="5"/>
      <c r="C8" s="58"/>
      <c r="D8" s="7"/>
      <c r="E8" s="7"/>
      <c r="F8" s="7"/>
    </row>
    <row r="9" spans="1:13" s="7" customFormat="1" ht="13.5" thickTop="1">
      <c r="B9" s="172" t="s">
        <v>57</v>
      </c>
      <c r="C9" s="172"/>
      <c r="D9" s="172"/>
      <c r="E9" s="172"/>
      <c r="F9" s="173"/>
      <c r="G9" s="1"/>
      <c r="H9" s="1"/>
      <c r="I9" s="1"/>
      <c r="J9" s="1"/>
    </row>
    <row r="10" spans="1:13" s="7" customFormat="1">
      <c r="B10" s="174"/>
      <c r="C10" s="174"/>
      <c r="D10" s="175" t="s">
        <v>59</v>
      </c>
      <c r="E10" s="175"/>
      <c r="G10" s="1"/>
      <c r="H10" s="1"/>
      <c r="I10" s="1"/>
      <c r="J10" s="1"/>
    </row>
    <row r="11" spans="1:13" ht="52.5" customHeight="1">
      <c r="B11" s="7"/>
      <c r="C11" s="7"/>
      <c r="D11" s="93" t="s">
        <v>61</v>
      </c>
      <c r="E11" s="59" t="s">
        <v>60</v>
      </c>
    </row>
    <row r="12" spans="1:13" ht="15" customHeight="1">
      <c r="D12" s="60">
        <v>394200</v>
      </c>
      <c r="E12" s="61">
        <v>79334</v>
      </c>
    </row>
    <row r="13" spans="1:13" ht="15" customHeight="1" thickBot="1">
      <c r="B13" s="7"/>
      <c r="C13" s="7"/>
      <c r="D13" s="7"/>
      <c r="E13" s="7"/>
      <c r="F13" s="7"/>
      <c r="G13" s="7"/>
      <c r="H13" s="7"/>
    </row>
    <row r="14" spans="1:13" ht="13.5" thickTop="1">
      <c r="B14" s="176" t="s">
        <v>3</v>
      </c>
      <c r="C14" s="176"/>
      <c r="D14" s="176"/>
      <c r="E14" s="176"/>
      <c r="F14" s="176"/>
      <c r="G14" s="176"/>
      <c r="H14" s="176"/>
    </row>
    <row r="15" spans="1:13" ht="15" customHeight="1">
      <c r="A15" s="7"/>
      <c r="B15" s="15"/>
      <c r="D15" s="175" t="s">
        <v>124</v>
      </c>
      <c r="E15" s="175"/>
    </row>
    <row r="16" spans="1:13" ht="30.75" customHeight="1">
      <c r="A16" s="7"/>
      <c r="C16" s="16" t="s">
        <v>42</v>
      </c>
      <c r="D16" s="14" t="s">
        <v>7</v>
      </c>
      <c r="E16" s="14" t="s">
        <v>8</v>
      </c>
    </row>
    <row r="17" spans="1:8" ht="15" customHeight="1">
      <c r="A17" s="7"/>
      <c r="C17" s="30" t="s">
        <v>9</v>
      </c>
      <c r="D17" s="162">
        <f>(23630810+198320)/1000</f>
        <v>23829.13</v>
      </c>
      <c r="E17" s="123">
        <f>2845306+1270313</f>
        <v>4115619</v>
      </c>
    </row>
    <row r="18" spans="1:8" ht="15" customHeight="1">
      <c r="A18" s="7"/>
      <c r="C18" s="30" t="s">
        <v>10</v>
      </c>
      <c r="D18" s="162">
        <f>16226327/1000</f>
        <v>16226.326999999999</v>
      </c>
      <c r="E18" s="123">
        <v>3781678</v>
      </c>
    </row>
    <row r="19" spans="1:8" ht="15" customHeight="1">
      <c r="A19" s="7"/>
      <c r="C19" s="30" t="s">
        <v>11</v>
      </c>
      <c r="D19" s="162"/>
      <c r="E19" s="123"/>
    </row>
    <row r="20" spans="1:8" ht="15" customHeight="1">
      <c r="A20" s="7"/>
      <c r="C20" s="30" t="s">
        <v>12</v>
      </c>
      <c r="D20" s="162"/>
      <c r="E20" s="123"/>
    </row>
    <row r="21" spans="1:8" ht="15" customHeight="1">
      <c r="A21" s="7"/>
      <c r="C21" s="30" t="s">
        <v>37</v>
      </c>
      <c r="D21" s="162">
        <f>885000/1000</f>
        <v>885</v>
      </c>
      <c r="E21" s="123"/>
    </row>
    <row r="22" spans="1:8" ht="15" customHeight="1">
      <c r="A22" s="7"/>
      <c r="C22" s="31" t="s">
        <v>38</v>
      </c>
      <c r="D22" s="122"/>
      <c r="E22" s="123"/>
    </row>
    <row r="23" spans="1:8" ht="15" customHeight="1">
      <c r="A23" s="7"/>
      <c r="C23" s="31" t="s">
        <v>5</v>
      </c>
      <c r="D23" s="124"/>
      <c r="E23" s="123">
        <v>1445817</v>
      </c>
    </row>
    <row r="24" spans="1:8" ht="15" customHeight="1">
      <c r="A24" s="7"/>
      <c r="C24" s="125"/>
      <c r="D24" s="124"/>
      <c r="E24" s="123"/>
    </row>
    <row r="25" spans="1:8" ht="15" customHeight="1">
      <c r="A25" s="7"/>
      <c r="C25" s="125"/>
      <c r="D25" s="124"/>
      <c r="E25" s="123"/>
    </row>
    <row r="26" spans="1:8" ht="30.75" customHeight="1">
      <c r="A26" s="7"/>
      <c r="B26" s="177" t="s">
        <v>58</v>
      </c>
      <c r="C26" s="178"/>
      <c r="E26" s="66"/>
    </row>
    <row r="27" spans="1:8" ht="15" customHeight="1">
      <c r="A27" s="7"/>
      <c r="C27" s="126" t="s">
        <v>201</v>
      </c>
      <c r="D27" s="64"/>
      <c r="E27" s="123">
        <f>1639272+(16895+55746)+1</f>
        <v>1711914</v>
      </c>
    </row>
    <row r="28" spans="1:8" ht="15" customHeight="1">
      <c r="A28" s="7"/>
      <c r="C28" s="126"/>
      <c r="D28" s="65"/>
      <c r="E28" s="123"/>
    </row>
    <row r="29" spans="1:8" ht="15" customHeight="1">
      <c r="C29" s="32" t="s">
        <v>6</v>
      </c>
      <c r="D29" s="119">
        <f>SUM(D17:D25)</f>
        <v>40940.457000000002</v>
      </c>
      <c r="E29" s="120">
        <f>SUM(E17:E28)</f>
        <v>11055028</v>
      </c>
    </row>
    <row r="30" spans="1:8" ht="15" customHeight="1">
      <c r="B30" s="17"/>
      <c r="C30" s="18"/>
      <c r="D30" s="19"/>
      <c r="E30" s="18"/>
      <c r="F30" s="19"/>
    </row>
    <row r="31" spans="1:8" s="7" customFormat="1" ht="15" customHeight="1">
      <c r="B31" s="3" t="s">
        <v>4</v>
      </c>
      <c r="C31" s="171" t="str">
        <f>CON_Utility_Name</f>
        <v>Avista Corp.</v>
      </c>
      <c r="D31" s="171"/>
      <c r="E31" s="171"/>
      <c r="F31" s="171"/>
      <c r="G31" s="1"/>
      <c r="H31" s="1"/>
    </row>
    <row r="32" spans="1:8" s="7" customFormat="1" ht="21" customHeight="1">
      <c r="B32" s="3"/>
      <c r="C32" s="6"/>
      <c r="D32" s="6"/>
      <c r="E32" s="6"/>
      <c r="F32" s="6"/>
    </row>
    <row r="33" spans="2:2">
      <c r="B33" s="11" t="s">
        <v>36</v>
      </c>
    </row>
  </sheetData>
  <mergeCells count="13">
    <mergeCell ref="C31:F31"/>
    <mergeCell ref="B9:F9"/>
    <mergeCell ref="B10:C10"/>
    <mergeCell ref="D10:E10"/>
    <mergeCell ref="G14:H14"/>
    <mergeCell ref="B14:F14"/>
    <mergeCell ref="B26:C26"/>
    <mergeCell ref="D15:E15"/>
    <mergeCell ref="C3:E3"/>
    <mergeCell ref="C4:E4"/>
    <mergeCell ref="C5:E5"/>
    <mergeCell ref="C6:E6"/>
    <mergeCell ref="C7:E7"/>
  </mergeCells>
  <hyperlinks>
    <hyperlink ref="C7" r:id="rId1"/>
  </hyperlinks>
  <pageMargins left="0.7" right="0.7" top="0.75" bottom="0.75" header="0.3" footer="0.3"/>
  <pageSetup scale="96" fitToHeight="0" orientation="landscape" r:id="rId2"/>
  <headerFooter>
    <oddFooter>&amp;L&amp;F  &amp;A&amp;R&amp;D</oddFooter>
  </headerFooter>
  <rowBreaks count="1" manualBreakCount="1">
    <brk id="29" max="16383" man="1"/>
  </rowBreaks>
  <drawing r:id="rId3"/>
</worksheet>
</file>

<file path=xl/worksheets/sheet4.xml><?xml version="1.0" encoding="utf-8"?>
<worksheet xmlns="http://schemas.openxmlformats.org/spreadsheetml/2006/main" xmlns:r="http://schemas.openxmlformats.org/officeDocument/2006/relationships">
  <sheetPr codeName="Sheet3">
    <tabColor theme="6"/>
    <pageSetUpPr fitToPage="1"/>
  </sheetPr>
  <dimension ref="A1:AH136"/>
  <sheetViews>
    <sheetView showGridLines="0" view="pageBreakPreview" zoomScaleNormal="100" zoomScaleSheetLayoutView="100" workbookViewId="0">
      <selection activeCell="N12" sqref="N12"/>
    </sheetView>
  </sheetViews>
  <sheetFormatPr defaultColWidth="9.140625" defaultRowHeight="12.75"/>
  <cols>
    <col min="1" max="1" width="2.7109375" style="1" customWidth="1"/>
    <col min="2" max="2" width="30.140625" style="1" customWidth="1"/>
    <col min="3" max="4" width="10.28515625" style="1" customWidth="1"/>
    <col min="5" max="13" width="10.7109375" style="1" customWidth="1"/>
    <col min="14" max="14" width="12.140625" style="1" bestFit="1" customWidth="1"/>
    <col min="15" max="15" width="10.7109375" style="1" customWidth="1"/>
    <col min="16" max="16" width="10.5703125" style="1" customWidth="1"/>
    <col min="17" max="17" width="10.7109375" style="1" customWidth="1"/>
    <col min="18" max="16384" width="9.140625" style="1"/>
  </cols>
  <sheetData>
    <row r="1" spans="2:34" s="7" customFormat="1" ht="19.5">
      <c r="B1" s="48" t="s">
        <v>156</v>
      </c>
      <c r="C1" s="48"/>
      <c r="D1" s="48"/>
      <c r="AC1" s="43" t="s">
        <v>48</v>
      </c>
      <c r="AH1" s="40"/>
    </row>
    <row r="2" spans="2:34" ht="14.25">
      <c r="B2" s="24"/>
      <c r="C2" s="24"/>
      <c r="D2" s="24"/>
      <c r="I2" s="190" t="s">
        <v>46</v>
      </c>
      <c r="J2" s="191"/>
      <c r="K2" s="191"/>
      <c r="L2" s="191"/>
      <c r="M2" s="191"/>
      <c r="N2" s="192"/>
      <c r="AC2" s="44" t="s">
        <v>49</v>
      </c>
      <c r="AH2" s="38"/>
    </row>
    <row r="3" spans="2:34" ht="15" customHeight="1">
      <c r="B3" s="3" t="s">
        <v>4</v>
      </c>
      <c r="C3" s="164" t="s">
        <v>202</v>
      </c>
      <c r="D3" s="164"/>
      <c r="E3" s="164"/>
      <c r="I3" s="53"/>
      <c r="J3" s="7"/>
      <c r="K3" s="7"/>
      <c r="L3" s="7"/>
      <c r="M3" s="52" t="s">
        <v>53</v>
      </c>
      <c r="N3" s="127">
        <v>5678868</v>
      </c>
      <c r="AC3" s="44" t="s">
        <v>50</v>
      </c>
      <c r="AH3" s="38"/>
    </row>
    <row r="4" spans="2:34" ht="15" customHeight="1" thickBot="1">
      <c r="B4" s="4" t="s">
        <v>65</v>
      </c>
      <c r="C4" s="196">
        <v>42156</v>
      </c>
      <c r="D4" s="196"/>
      <c r="E4" s="196"/>
      <c r="I4" s="53"/>
      <c r="J4" s="7"/>
      <c r="K4" s="7"/>
      <c r="L4" s="7"/>
      <c r="M4" s="52" t="s">
        <v>153</v>
      </c>
      <c r="N4" s="128">
        <v>5685958</v>
      </c>
      <c r="AC4" s="44" t="s">
        <v>51</v>
      </c>
      <c r="AH4" s="39"/>
    </row>
    <row r="5" spans="2:34" ht="15" customHeight="1">
      <c r="B5" s="5" t="s">
        <v>0</v>
      </c>
      <c r="C5" s="197" t="s">
        <v>203</v>
      </c>
      <c r="D5" s="197"/>
      <c r="E5" s="197"/>
      <c r="I5" s="53"/>
      <c r="J5" s="7"/>
      <c r="K5" s="7"/>
      <c r="L5" s="7"/>
      <c r="M5" s="52" t="s">
        <v>154</v>
      </c>
      <c r="N5" s="116">
        <f>IF(REN_Load_2013+REN_Load_2014&gt;0,AVERAGE(REN_Load_2013,REN_Load_2014),0)</f>
        <v>5682413</v>
      </c>
    </row>
    <row r="6" spans="2:34" ht="15" customHeight="1">
      <c r="B6" s="5" t="s">
        <v>1</v>
      </c>
      <c r="C6" s="197" t="s">
        <v>204</v>
      </c>
      <c r="D6" s="197"/>
      <c r="E6" s="197"/>
      <c r="I6" s="53"/>
      <c r="J6" s="7"/>
      <c r="K6" s="7"/>
      <c r="L6" s="7"/>
      <c r="M6" s="52" t="s">
        <v>155</v>
      </c>
      <c r="N6" s="117">
        <v>0.03</v>
      </c>
    </row>
    <row r="7" spans="2:34" ht="15" customHeight="1">
      <c r="B7" s="5" t="s">
        <v>2</v>
      </c>
      <c r="C7" s="198" t="s">
        <v>205</v>
      </c>
      <c r="D7" s="199"/>
      <c r="E7" s="199"/>
      <c r="I7" s="63"/>
      <c r="J7" s="7"/>
      <c r="K7" s="7"/>
      <c r="L7" s="7"/>
      <c r="M7" s="52" t="s">
        <v>169</v>
      </c>
      <c r="N7" s="116">
        <f>N5*N6</f>
        <v>170472.38999999998</v>
      </c>
    </row>
    <row r="8" spans="2:34" ht="15" customHeight="1">
      <c r="B8" s="5"/>
      <c r="C8" s="5"/>
      <c r="D8" s="5"/>
      <c r="E8" s="37"/>
      <c r="I8" s="54"/>
      <c r="J8" s="55"/>
      <c r="K8" s="55"/>
      <c r="L8" s="55"/>
      <c r="M8" s="56" t="s">
        <v>52</v>
      </c>
      <c r="N8" s="118">
        <f>SUM(C20:M20)</f>
        <v>622438.19999999995</v>
      </c>
    </row>
    <row r="9" spans="2:34" ht="15" customHeight="1">
      <c r="B9" s="3" t="s">
        <v>193</v>
      </c>
      <c r="C9" s="49"/>
      <c r="D9" s="49"/>
    </row>
    <row r="10" spans="2:34" ht="15" customHeight="1">
      <c r="C10" s="24"/>
      <c r="D10" s="24"/>
      <c r="G10" s="193" t="s">
        <v>192</v>
      </c>
      <c r="H10" s="194"/>
      <c r="I10" s="194"/>
      <c r="J10" s="194"/>
      <c r="K10" s="194"/>
      <c r="L10" s="194"/>
      <c r="M10" s="194"/>
      <c r="N10" s="195"/>
    </row>
    <row r="11" spans="2:34" s="41" customFormat="1" ht="14.25" customHeight="1">
      <c r="B11" s="1"/>
      <c r="C11" s="42"/>
      <c r="D11" s="42"/>
      <c r="G11" s="53" t="s">
        <v>101</v>
      </c>
      <c r="H11" s="69"/>
      <c r="I11" s="69"/>
      <c r="J11" s="69"/>
      <c r="K11" s="69"/>
      <c r="L11" s="69"/>
      <c r="M11" s="7"/>
      <c r="N11" s="114">
        <f>'Renewable Cost Report'!L28+'Renewable Cost Report'!F60</f>
        <v>7585414.5599999987</v>
      </c>
    </row>
    <row r="12" spans="2:34">
      <c r="C12" s="24"/>
      <c r="D12" s="24"/>
      <c r="G12" s="53" t="s">
        <v>170</v>
      </c>
      <c r="H12" s="67"/>
      <c r="I12" s="67"/>
      <c r="J12" s="67"/>
      <c r="K12" s="67"/>
      <c r="L12" s="7"/>
      <c r="M12" s="7"/>
      <c r="N12" s="129">
        <v>486512449</v>
      </c>
    </row>
    <row r="13" spans="2:34">
      <c r="G13" s="70" t="s">
        <v>102</v>
      </c>
      <c r="H13" s="68"/>
      <c r="I13" s="68"/>
      <c r="J13" s="68"/>
      <c r="K13" s="68"/>
      <c r="L13" s="55"/>
      <c r="M13" s="55"/>
      <c r="N13" s="115">
        <f>IF(REN_RetailRevenueRequirement_2015&gt;0,REN_Expenditure_Amount_2015/REN_RetailRevenueRequirement_2015,"")</f>
        <v>1.5591408967214318E-2</v>
      </c>
    </row>
    <row r="14" spans="2:34" ht="17.45" customHeight="1">
      <c r="I14" s="179"/>
      <c r="J14" s="179"/>
      <c r="K14" s="179"/>
      <c r="L14" s="179"/>
      <c r="M14" s="179"/>
      <c r="N14" s="34"/>
      <c r="O14" s="20"/>
      <c r="P14" s="20"/>
    </row>
    <row r="15" spans="2:34" ht="16.899999999999999" customHeight="1">
      <c r="B15" s="5"/>
      <c r="C15" s="29" t="s">
        <v>14</v>
      </c>
      <c r="D15" s="27" t="s">
        <v>15</v>
      </c>
      <c r="E15" s="27" t="s">
        <v>16</v>
      </c>
      <c r="F15" s="27" t="s">
        <v>17</v>
      </c>
      <c r="G15" s="27" t="s">
        <v>18</v>
      </c>
      <c r="H15" s="27" t="s">
        <v>19</v>
      </c>
      <c r="I15" s="27" t="s">
        <v>20</v>
      </c>
      <c r="J15" s="27" t="s">
        <v>21</v>
      </c>
      <c r="K15" s="28" t="s">
        <v>22</v>
      </c>
      <c r="L15" s="28" t="s">
        <v>66</v>
      </c>
      <c r="M15" s="28" t="s">
        <v>67</v>
      </c>
      <c r="N15" s="34"/>
      <c r="O15" s="20"/>
      <c r="P15" s="20"/>
    </row>
    <row r="16" spans="2:34" ht="21.75" customHeight="1">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c r="B17" s="5"/>
      <c r="C17" s="21" t="s">
        <v>7</v>
      </c>
      <c r="D17" s="21" t="s">
        <v>7</v>
      </c>
      <c r="E17" s="21" t="s">
        <v>7</v>
      </c>
      <c r="F17" s="21" t="s">
        <v>7</v>
      </c>
      <c r="G17" s="21" t="s">
        <v>7</v>
      </c>
      <c r="H17" s="21" t="s">
        <v>7</v>
      </c>
      <c r="I17" s="21" t="s">
        <v>7</v>
      </c>
      <c r="J17" s="21" t="s">
        <v>7</v>
      </c>
      <c r="K17" s="21" t="s">
        <v>7</v>
      </c>
      <c r="L17" s="21" t="s">
        <v>56</v>
      </c>
      <c r="M17" s="21" t="s">
        <v>56</v>
      </c>
      <c r="N17" s="34"/>
      <c r="O17" s="20"/>
      <c r="P17" s="20"/>
    </row>
    <row r="18" spans="2:34" ht="15" customHeight="1">
      <c r="B18" s="4" t="s">
        <v>43</v>
      </c>
      <c r="C18" s="130">
        <f t="shared" ref="C18:L18" si="0">SUM(E44:E64)</f>
        <v>170089</v>
      </c>
      <c r="D18" s="130">
        <f t="shared" si="0"/>
        <v>335291</v>
      </c>
      <c r="E18" s="130">
        <f t="shared" si="0"/>
        <v>0</v>
      </c>
      <c r="F18" s="130">
        <f t="shared" si="0"/>
        <v>0</v>
      </c>
      <c r="G18" s="130">
        <f t="shared" si="0"/>
        <v>0</v>
      </c>
      <c r="H18" s="130">
        <f t="shared" si="0"/>
        <v>0</v>
      </c>
      <c r="I18" s="130">
        <f t="shared" si="0"/>
        <v>0</v>
      </c>
      <c r="J18" s="130">
        <f t="shared" si="0"/>
        <v>0</v>
      </c>
      <c r="K18" s="130">
        <f t="shared" si="0"/>
        <v>0</v>
      </c>
      <c r="L18" s="130">
        <f t="shared" si="0"/>
        <v>67058.2</v>
      </c>
      <c r="M18" s="62"/>
      <c r="N18" s="35"/>
      <c r="O18" s="46"/>
      <c r="P18" s="46"/>
    </row>
    <row r="19" spans="2:34" ht="16.5" customHeight="1">
      <c r="B19" s="4" t="s">
        <v>44</v>
      </c>
      <c r="C19" s="62"/>
      <c r="D19" s="131">
        <f t="shared" ref="D19:M19" si="1">SUM(F72:F96)</f>
        <v>50000</v>
      </c>
      <c r="E19" s="131">
        <f t="shared" si="1"/>
        <v>0</v>
      </c>
      <c r="F19" s="131">
        <f t="shared" si="1"/>
        <v>0</v>
      </c>
      <c r="G19" s="131">
        <f t="shared" si="1"/>
        <v>0</v>
      </c>
      <c r="H19" s="131">
        <f t="shared" si="1"/>
        <v>0</v>
      </c>
      <c r="I19" s="131">
        <f t="shared" si="1"/>
        <v>0</v>
      </c>
      <c r="J19" s="131">
        <f t="shared" si="1"/>
        <v>0</v>
      </c>
      <c r="K19" s="131">
        <f t="shared" si="1"/>
        <v>0</v>
      </c>
      <c r="L19" s="131">
        <f t="shared" si="1"/>
        <v>0</v>
      </c>
      <c r="M19" s="131">
        <f t="shared" si="1"/>
        <v>0</v>
      </c>
      <c r="N19" s="36"/>
      <c r="O19" s="20"/>
      <c r="P19" s="20"/>
    </row>
    <row r="20" spans="2:34" ht="16.5" customHeight="1">
      <c r="B20" s="5" t="s">
        <v>45</v>
      </c>
      <c r="C20" s="132">
        <f t="shared" ref="C20:L20" si="2">C18+C19</f>
        <v>170089</v>
      </c>
      <c r="D20" s="132">
        <f t="shared" si="2"/>
        <v>385291</v>
      </c>
      <c r="E20" s="132">
        <f t="shared" si="2"/>
        <v>0</v>
      </c>
      <c r="F20" s="132">
        <f t="shared" si="2"/>
        <v>0</v>
      </c>
      <c r="G20" s="132">
        <f t="shared" si="2"/>
        <v>0</v>
      </c>
      <c r="H20" s="132">
        <f t="shared" si="2"/>
        <v>0</v>
      </c>
      <c r="I20" s="132">
        <f t="shared" si="2"/>
        <v>0</v>
      </c>
      <c r="J20" s="132">
        <f t="shared" si="2"/>
        <v>0</v>
      </c>
      <c r="K20" s="132">
        <f t="shared" si="2"/>
        <v>0</v>
      </c>
      <c r="L20" s="132">
        <f t="shared" si="2"/>
        <v>67058.2</v>
      </c>
      <c r="M20" s="131">
        <f>M19</f>
        <v>0</v>
      </c>
      <c r="N20" s="36"/>
      <c r="O20" s="20"/>
      <c r="P20" s="20"/>
    </row>
    <row r="21" spans="2:34" ht="16.5" customHeight="1">
      <c r="L21" s="7"/>
      <c r="M21" s="4"/>
      <c r="N21" s="36"/>
      <c r="O21" s="20"/>
      <c r="P21" s="20"/>
    </row>
    <row r="22" spans="2:34" ht="21.75" customHeight="1">
      <c r="L22" s="7"/>
      <c r="M22" s="4"/>
      <c r="N22" s="36"/>
      <c r="O22" s="20"/>
      <c r="P22" s="20"/>
    </row>
    <row r="23" spans="2:34" ht="15" customHeight="1">
      <c r="B23" s="47"/>
      <c r="C23" s="50"/>
      <c r="D23" s="50"/>
      <c r="E23" s="47"/>
      <c r="F23" s="50"/>
      <c r="G23" s="50"/>
      <c r="I23" s="7"/>
      <c r="J23" s="7"/>
      <c r="K23" s="7"/>
      <c r="L23" s="7"/>
      <c r="M23" s="4"/>
      <c r="N23" s="36"/>
      <c r="O23" s="20"/>
      <c r="P23" s="20"/>
    </row>
    <row r="24" spans="2:34" ht="15" customHeight="1"/>
    <row r="25" spans="2:34" s="11" customFormat="1">
      <c r="AH25" s="1"/>
    </row>
    <row r="26" spans="2:34" ht="15" customHeight="1">
      <c r="AH26" s="11"/>
    </row>
    <row r="27" spans="2:34" ht="15" customHeight="1">
      <c r="AH27" s="11"/>
    </row>
    <row r="28" spans="2:34" ht="15" customHeight="1">
      <c r="AH28" s="11"/>
    </row>
    <row r="29" spans="2:34" ht="15" customHeight="1">
      <c r="AH29" s="11"/>
    </row>
    <row r="30" spans="2:34" ht="15" customHeight="1">
      <c r="AH30" s="11"/>
    </row>
    <row r="31" spans="2:34" ht="15" customHeight="1">
      <c r="AH31" s="11"/>
    </row>
    <row r="32" spans="2:34" ht="15" customHeight="1">
      <c r="AH32" s="11"/>
    </row>
    <row r="33" spans="2:34" ht="15" customHeight="1"/>
    <row r="34" spans="2:34" ht="15" customHeight="1"/>
    <row r="35" spans="2:34" ht="15" customHeight="1"/>
    <row r="36" spans="2:34" ht="16.5" customHeight="1">
      <c r="B36" s="6" t="s">
        <v>39</v>
      </c>
      <c r="C36" s="6"/>
      <c r="D36" s="6"/>
      <c r="E36" s="10" t="s">
        <v>4</v>
      </c>
      <c r="F36" s="180" t="str">
        <f>C3</f>
        <v>Avista</v>
      </c>
      <c r="G36" s="181"/>
      <c r="H36" s="182"/>
    </row>
    <row r="37" spans="2:34" ht="15" customHeight="1">
      <c r="E37" s="10" t="s">
        <v>13</v>
      </c>
      <c r="F37" s="183">
        <v>2015</v>
      </c>
      <c r="G37" s="184"/>
      <c r="H37" s="185"/>
    </row>
    <row r="38" spans="2:34" ht="15" customHeight="1">
      <c r="E38" s="10"/>
      <c r="F38" s="45"/>
      <c r="G38" s="9"/>
      <c r="H38" s="9"/>
    </row>
    <row r="39" spans="2:34" s="25" customFormat="1" ht="27" customHeight="1">
      <c r="B39" s="186" t="s">
        <v>105</v>
      </c>
      <c r="C39" s="187"/>
      <c r="D39" s="187"/>
      <c r="E39" s="188"/>
      <c r="F39" s="188"/>
      <c r="G39" s="188"/>
      <c r="H39" s="26"/>
      <c r="AH39" s="1"/>
    </row>
    <row r="40" spans="2:34" ht="15" customHeight="1">
      <c r="E40" s="12"/>
      <c r="F40" s="12"/>
      <c r="G40" s="12"/>
      <c r="H40" s="12"/>
      <c r="I40" s="12"/>
      <c r="J40" s="12"/>
      <c r="K40" s="12"/>
      <c r="L40" s="12"/>
      <c r="M40" s="12"/>
      <c r="N40" s="12"/>
      <c r="P40" s="12"/>
      <c r="Q40" s="12"/>
      <c r="R40" s="12"/>
      <c r="S40" s="12"/>
      <c r="AH40" s="25"/>
    </row>
    <row r="41" spans="2:34" s="7" customFormat="1" ht="12.75" customHeight="1">
      <c r="E41" s="29" t="s">
        <v>14</v>
      </c>
      <c r="F41" s="27" t="s">
        <v>15</v>
      </c>
      <c r="G41" s="27" t="s">
        <v>16</v>
      </c>
      <c r="H41" s="27" t="s">
        <v>17</v>
      </c>
      <c r="I41" s="27" t="s">
        <v>18</v>
      </c>
      <c r="J41" s="27" t="s">
        <v>19</v>
      </c>
      <c r="K41" s="27" t="s">
        <v>20</v>
      </c>
      <c r="L41" s="27" t="s">
        <v>21</v>
      </c>
      <c r="M41" s="28" t="s">
        <v>22</v>
      </c>
      <c r="N41" s="28" t="s">
        <v>66</v>
      </c>
      <c r="O41" s="1"/>
      <c r="AH41" s="1"/>
    </row>
    <row r="42" spans="2:34" s="11" customFormat="1" ht="43.5" customHeight="1">
      <c r="E42" s="23" t="s">
        <v>33</v>
      </c>
      <c r="F42" s="23" t="s">
        <v>24</v>
      </c>
      <c r="G42" s="23" t="s">
        <v>25</v>
      </c>
      <c r="H42" s="23" t="s">
        <v>26</v>
      </c>
      <c r="I42" s="23" t="s">
        <v>27</v>
      </c>
      <c r="J42" s="23" t="s">
        <v>40</v>
      </c>
      <c r="K42" s="23" t="s">
        <v>28</v>
      </c>
      <c r="L42" s="23" t="s">
        <v>29</v>
      </c>
      <c r="M42" s="23" t="s">
        <v>30</v>
      </c>
      <c r="N42" s="23" t="s">
        <v>34</v>
      </c>
      <c r="O42" s="1"/>
      <c r="AH42" s="7"/>
    </row>
    <row r="43" spans="2:34" ht="15" customHeight="1">
      <c r="B43" s="51" t="s">
        <v>35</v>
      </c>
      <c r="C43" s="189" t="s">
        <v>54</v>
      </c>
      <c r="D43" s="189"/>
      <c r="E43" s="21" t="s">
        <v>7</v>
      </c>
      <c r="F43" s="21" t="s">
        <v>7</v>
      </c>
      <c r="G43" s="21" t="s">
        <v>7</v>
      </c>
      <c r="H43" s="21" t="s">
        <v>7</v>
      </c>
      <c r="I43" s="21" t="s">
        <v>7</v>
      </c>
      <c r="J43" s="21" t="s">
        <v>7</v>
      </c>
      <c r="K43" s="21" t="s">
        <v>7</v>
      </c>
      <c r="L43" s="21" t="s">
        <v>7</v>
      </c>
      <c r="M43" s="21" t="s">
        <v>7</v>
      </c>
      <c r="N43" s="21" t="s">
        <v>56</v>
      </c>
      <c r="AH43" s="11"/>
    </row>
    <row r="44" spans="2:34" ht="15" customHeight="1">
      <c r="B44" s="133" t="s">
        <v>208</v>
      </c>
      <c r="C44" s="134" t="s">
        <v>209</v>
      </c>
      <c r="D44" s="134"/>
      <c r="E44" s="135">
        <v>4862</v>
      </c>
      <c r="F44" s="130"/>
      <c r="G44" s="130"/>
      <c r="H44" s="130"/>
      <c r="I44" s="130"/>
      <c r="J44" s="130"/>
      <c r="K44" s="130"/>
      <c r="L44" s="130"/>
      <c r="M44" s="130"/>
      <c r="N44" s="130"/>
    </row>
    <row r="45" spans="2:34" ht="15" customHeight="1">
      <c r="B45" s="136" t="s">
        <v>206</v>
      </c>
      <c r="C45" s="137" t="s">
        <v>207</v>
      </c>
      <c r="D45" s="137"/>
      <c r="E45" s="138">
        <v>14197</v>
      </c>
      <c r="F45" s="139"/>
      <c r="G45" s="139"/>
      <c r="H45" s="139"/>
      <c r="I45" s="139"/>
      <c r="J45" s="139"/>
      <c r="K45" s="139"/>
      <c r="L45" s="139"/>
      <c r="M45" s="139"/>
      <c r="N45" s="139"/>
    </row>
    <row r="46" spans="2:34" ht="15" customHeight="1">
      <c r="B46" s="136" t="s">
        <v>210</v>
      </c>
      <c r="C46" s="137" t="s">
        <v>219</v>
      </c>
      <c r="D46" s="137"/>
      <c r="E46" s="138">
        <v>29008</v>
      </c>
      <c r="F46" s="139"/>
      <c r="G46" s="139"/>
      <c r="H46" s="139"/>
      <c r="I46" s="139"/>
      <c r="J46" s="139"/>
      <c r="K46" s="139"/>
      <c r="L46" s="139"/>
      <c r="M46" s="139"/>
      <c r="N46" s="139"/>
    </row>
    <row r="47" spans="2:34" ht="15" customHeight="1">
      <c r="B47" s="140" t="s">
        <v>211</v>
      </c>
      <c r="C47" s="141" t="s">
        <v>220</v>
      </c>
      <c r="D47" s="141"/>
      <c r="E47" s="138">
        <v>45808</v>
      </c>
      <c r="F47" s="139"/>
      <c r="G47" s="139"/>
      <c r="H47" s="139"/>
      <c r="I47" s="139"/>
      <c r="J47" s="139"/>
      <c r="K47" s="139"/>
      <c r="L47" s="139"/>
      <c r="M47" s="139"/>
      <c r="N47" s="139"/>
    </row>
    <row r="48" spans="2:34" ht="15" customHeight="1">
      <c r="B48" s="136" t="s">
        <v>212</v>
      </c>
      <c r="C48" s="141" t="s">
        <v>221</v>
      </c>
      <c r="D48" s="142"/>
      <c r="E48" s="138">
        <v>20517</v>
      </c>
      <c r="F48" s="139"/>
      <c r="G48" s="139"/>
      <c r="H48" s="139"/>
      <c r="I48" s="139"/>
      <c r="J48" s="139"/>
      <c r="K48" s="139"/>
      <c r="L48" s="139"/>
      <c r="M48" s="139"/>
      <c r="N48" s="139"/>
    </row>
    <row r="49" spans="2:14" ht="15" customHeight="1">
      <c r="B49" s="140" t="s">
        <v>213</v>
      </c>
      <c r="C49" s="141" t="s">
        <v>222</v>
      </c>
      <c r="D49" s="143"/>
      <c r="E49" s="138">
        <v>21435</v>
      </c>
      <c r="F49" s="139"/>
      <c r="G49" s="139"/>
      <c r="H49" s="139"/>
      <c r="I49" s="139"/>
      <c r="J49" s="139"/>
      <c r="K49" s="139"/>
      <c r="L49" s="139"/>
      <c r="M49" s="139"/>
      <c r="N49" s="139"/>
    </row>
    <row r="50" spans="2:14" ht="15" customHeight="1">
      <c r="B50" s="136" t="s">
        <v>214</v>
      </c>
      <c r="C50" s="141" t="s">
        <v>223</v>
      </c>
      <c r="D50" s="143"/>
      <c r="E50" s="138">
        <v>7709</v>
      </c>
      <c r="F50" s="139"/>
      <c r="G50" s="139"/>
      <c r="H50" s="139"/>
      <c r="I50" s="139"/>
      <c r="J50" s="139"/>
      <c r="K50" s="139"/>
      <c r="L50" s="139"/>
      <c r="M50" s="139"/>
      <c r="N50" s="139"/>
    </row>
    <row r="51" spans="2:14" ht="15" customHeight="1">
      <c r="B51" s="140" t="s">
        <v>215</v>
      </c>
      <c r="C51" s="141" t="s">
        <v>224</v>
      </c>
      <c r="D51" s="143"/>
      <c r="E51" s="138">
        <v>14529</v>
      </c>
      <c r="F51" s="139"/>
      <c r="G51" s="139"/>
      <c r="H51" s="139"/>
      <c r="I51" s="139"/>
      <c r="J51" s="139"/>
      <c r="K51" s="139"/>
      <c r="L51" s="139"/>
      <c r="M51" s="139"/>
      <c r="N51" s="139"/>
    </row>
    <row r="52" spans="2:14" ht="15" customHeight="1">
      <c r="B52" s="136" t="s">
        <v>216</v>
      </c>
      <c r="C52" s="141" t="s">
        <v>225</v>
      </c>
      <c r="D52" s="143"/>
      <c r="E52" s="138">
        <v>12024</v>
      </c>
      <c r="F52" s="139"/>
      <c r="G52" s="139"/>
      <c r="H52" s="139"/>
      <c r="I52" s="139"/>
      <c r="J52" s="139"/>
      <c r="K52" s="139"/>
      <c r="L52" s="139"/>
      <c r="M52" s="139"/>
      <c r="N52" s="139"/>
    </row>
    <row r="53" spans="2:14" ht="15" customHeight="1">
      <c r="B53" s="140" t="s">
        <v>217</v>
      </c>
      <c r="C53" s="141" t="s">
        <v>226</v>
      </c>
      <c r="D53" s="143"/>
      <c r="E53" s="138">
        <v>0</v>
      </c>
      <c r="F53" s="139"/>
      <c r="G53" s="139"/>
      <c r="H53" s="139"/>
      <c r="I53" s="139"/>
      <c r="J53" s="139"/>
      <c r="K53" s="139"/>
      <c r="L53" s="139"/>
      <c r="M53" s="139"/>
      <c r="N53" s="139"/>
    </row>
    <row r="54" spans="2:14" ht="15" customHeight="1">
      <c r="B54" s="136" t="s">
        <v>218</v>
      </c>
      <c r="C54" s="141" t="s">
        <v>227</v>
      </c>
      <c r="D54" s="143"/>
      <c r="E54" s="138"/>
      <c r="F54" s="139">
        <v>335291</v>
      </c>
      <c r="G54" s="139"/>
      <c r="H54" s="139"/>
      <c r="I54" s="139"/>
      <c r="J54" s="139"/>
      <c r="K54" s="139"/>
      <c r="L54" s="139"/>
      <c r="M54" s="139"/>
      <c r="N54" s="139">
        <f>F54*0.2</f>
        <v>67058.2</v>
      </c>
    </row>
    <row r="55" spans="2:14" ht="15" customHeight="1">
      <c r="B55" s="125"/>
      <c r="C55" s="143"/>
      <c r="D55" s="143"/>
      <c r="E55" s="138"/>
      <c r="F55" s="139"/>
      <c r="G55" s="139"/>
      <c r="H55" s="139"/>
      <c r="I55" s="139"/>
      <c r="J55" s="139"/>
      <c r="K55" s="139"/>
      <c r="L55" s="139"/>
      <c r="M55" s="139"/>
      <c r="N55" s="139"/>
    </row>
    <row r="56" spans="2:14" ht="15" customHeight="1">
      <c r="B56" s="125"/>
      <c r="C56" s="143"/>
      <c r="D56" s="143"/>
      <c r="E56" s="138"/>
      <c r="F56" s="139"/>
      <c r="G56" s="139"/>
      <c r="H56" s="139"/>
      <c r="I56" s="139"/>
      <c r="J56" s="139"/>
      <c r="K56" s="139"/>
      <c r="L56" s="139"/>
      <c r="M56" s="139"/>
      <c r="N56" s="139"/>
    </row>
    <row r="57" spans="2:14" ht="15" customHeight="1">
      <c r="B57" s="125"/>
      <c r="C57" s="143"/>
      <c r="D57" s="143"/>
      <c r="E57" s="138"/>
      <c r="F57" s="139"/>
      <c r="G57" s="139"/>
      <c r="H57" s="139"/>
      <c r="I57" s="139"/>
      <c r="J57" s="139"/>
      <c r="K57" s="139"/>
      <c r="L57" s="139"/>
      <c r="M57" s="139"/>
      <c r="N57" s="139"/>
    </row>
    <row r="58" spans="2:14" ht="15" customHeight="1">
      <c r="B58" s="125"/>
      <c r="C58" s="143"/>
      <c r="D58" s="143"/>
      <c r="E58" s="138"/>
      <c r="F58" s="139"/>
      <c r="G58" s="139"/>
      <c r="H58" s="139"/>
      <c r="I58" s="139"/>
      <c r="J58" s="139"/>
      <c r="K58" s="139"/>
      <c r="L58" s="139"/>
      <c r="M58" s="139"/>
      <c r="N58" s="139"/>
    </row>
    <row r="59" spans="2:14" ht="15" customHeight="1">
      <c r="B59" s="125"/>
      <c r="C59" s="143"/>
      <c r="D59" s="143"/>
      <c r="E59" s="138"/>
      <c r="F59" s="139"/>
      <c r="G59" s="139"/>
      <c r="H59" s="139"/>
      <c r="I59" s="139"/>
      <c r="J59" s="139"/>
      <c r="K59" s="139"/>
      <c r="L59" s="139"/>
      <c r="M59" s="139"/>
      <c r="N59" s="139"/>
    </row>
    <row r="60" spans="2:14" ht="15" customHeight="1">
      <c r="B60" s="125"/>
      <c r="C60" s="143"/>
      <c r="D60" s="143"/>
      <c r="E60" s="138"/>
      <c r="F60" s="139"/>
      <c r="G60" s="139"/>
      <c r="H60" s="139"/>
      <c r="I60" s="139"/>
      <c r="J60" s="139"/>
      <c r="K60" s="139"/>
      <c r="L60" s="139"/>
      <c r="M60" s="139"/>
      <c r="N60" s="139"/>
    </row>
    <row r="61" spans="2:14" ht="15" customHeight="1">
      <c r="B61" s="125"/>
      <c r="C61" s="143"/>
      <c r="D61" s="143"/>
      <c r="E61" s="138"/>
      <c r="F61" s="139"/>
      <c r="G61" s="139"/>
      <c r="H61" s="139"/>
      <c r="I61" s="139"/>
      <c r="J61" s="139"/>
      <c r="K61" s="139"/>
      <c r="L61" s="139"/>
      <c r="M61" s="139"/>
      <c r="N61" s="139"/>
    </row>
    <row r="62" spans="2:14" ht="15" customHeight="1">
      <c r="B62" s="125"/>
      <c r="C62" s="143"/>
      <c r="D62" s="143"/>
      <c r="E62" s="138"/>
      <c r="F62" s="139"/>
      <c r="G62" s="139"/>
      <c r="H62" s="139"/>
      <c r="I62" s="139"/>
      <c r="J62" s="139"/>
      <c r="K62" s="139"/>
      <c r="L62" s="139"/>
      <c r="M62" s="139"/>
      <c r="N62" s="139"/>
    </row>
    <row r="63" spans="2:14" ht="15" customHeight="1">
      <c r="B63" s="125"/>
      <c r="C63" s="143"/>
      <c r="D63" s="143"/>
      <c r="E63" s="138"/>
      <c r="F63" s="139"/>
      <c r="G63" s="139"/>
      <c r="H63" s="139"/>
      <c r="I63" s="139"/>
      <c r="J63" s="139"/>
      <c r="K63" s="139"/>
      <c r="L63" s="139"/>
      <c r="M63" s="139"/>
      <c r="N63" s="139"/>
    </row>
    <row r="64" spans="2:14" ht="15" customHeight="1">
      <c r="B64" s="144"/>
      <c r="C64" s="145"/>
      <c r="D64" s="145"/>
      <c r="E64" s="146"/>
      <c r="F64" s="131"/>
      <c r="G64" s="131"/>
      <c r="H64" s="131"/>
      <c r="I64" s="131"/>
      <c r="J64" s="131"/>
      <c r="K64" s="131"/>
      <c r="L64" s="131"/>
      <c r="M64" s="131"/>
      <c r="N64" s="131"/>
    </row>
    <row r="65" spans="1:34" ht="15" customHeight="1">
      <c r="E65" s="7"/>
      <c r="F65" s="7"/>
      <c r="G65" s="7"/>
      <c r="H65" s="7"/>
      <c r="I65" s="7"/>
      <c r="J65" s="7"/>
      <c r="K65" s="7"/>
      <c r="L65" s="7"/>
      <c r="M65" s="7"/>
      <c r="N65" s="7"/>
    </row>
    <row r="66" spans="1:34" ht="17.25" customHeight="1">
      <c r="B66" s="6" t="s">
        <v>32</v>
      </c>
      <c r="C66" s="6"/>
      <c r="D66" s="6"/>
      <c r="E66" s="10" t="s">
        <v>4</v>
      </c>
      <c r="F66" s="180" t="str">
        <f>C3</f>
        <v>Avista</v>
      </c>
      <c r="G66" s="181"/>
      <c r="H66" s="182"/>
    </row>
    <row r="67" spans="1:34" ht="15" customHeight="1">
      <c r="E67" s="10" t="s">
        <v>13</v>
      </c>
      <c r="F67" s="183">
        <v>2015</v>
      </c>
      <c r="G67" s="184"/>
      <c r="H67" s="185"/>
    </row>
    <row r="68" spans="1:34" ht="15" customHeight="1">
      <c r="B68" s="10"/>
      <c r="C68" s="10"/>
      <c r="D68" s="10"/>
      <c r="E68" s="8"/>
      <c r="H68" s="22"/>
      <c r="I68" s="7"/>
    </row>
    <row r="69" spans="1:34" s="7" customFormat="1" ht="16.5" customHeight="1">
      <c r="B69" s="6"/>
      <c r="C69" s="6"/>
      <c r="D69" s="6"/>
      <c r="E69" s="29" t="s">
        <v>14</v>
      </c>
      <c r="F69" s="27" t="s">
        <v>15</v>
      </c>
      <c r="G69" s="27" t="s">
        <v>16</v>
      </c>
      <c r="H69" s="27" t="s">
        <v>17</v>
      </c>
      <c r="I69" s="27" t="s">
        <v>18</v>
      </c>
      <c r="J69" s="27" t="s">
        <v>19</v>
      </c>
      <c r="K69" s="27" t="s">
        <v>20</v>
      </c>
      <c r="L69" s="27" t="s">
        <v>21</v>
      </c>
      <c r="M69" s="28" t="s">
        <v>22</v>
      </c>
      <c r="N69" s="28" t="s">
        <v>66</v>
      </c>
      <c r="O69" s="28" t="s">
        <v>67</v>
      </c>
      <c r="AH69" s="1"/>
    </row>
    <row r="70" spans="1:34" s="11" customFormat="1" ht="36">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c r="B71" s="51" t="s">
        <v>35</v>
      </c>
      <c r="C71" s="33" t="s">
        <v>54</v>
      </c>
      <c r="D71" s="33" t="s">
        <v>55</v>
      </c>
      <c r="E71" s="21" t="s">
        <v>7</v>
      </c>
      <c r="F71" s="21" t="s">
        <v>7</v>
      </c>
      <c r="G71" s="21" t="s">
        <v>7</v>
      </c>
      <c r="H71" s="21" t="s">
        <v>7</v>
      </c>
      <c r="I71" s="21" t="s">
        <v>7</v>
      </c>
      <c r="J71" s="21" t="s">
        <v>7</v>
      </c>
      <c r="K71" s="21" t="s">
        <v>7</v>
      </c>
      <c r="L71" s="21" t="s">
        <v>7</v>
      </c>
      <c r="M71" s="21" t="s">
        <v>7</v>
      </c>
      <c r="N71" s="21" t="s">
        <v>56</v>
      </c>
      <c r="O71" s="21" t="s">
        <v>56</v>
      </c>
      <c r="AH71" s="11"/>
    </row>
    <row r="72" spans="1:34" ht="15" customHeight="1">
      <c r="A72" s="7"/>
      <c r="B72" s="130" t="s">
        <v>228</v>
      </c>
      <c r="C72" s="130" t="s">
        <v>229</v>
      </c>
      <c r="D72" s="163">
        <v>2015</v>
      </c>
      <c r="E72" s="130"/>
      <c r="F72" s="130">
        <v>50000</v>
      </c>
      <c r="G72" s="130"/>
      <c r="H72" s="130"/>
      <c r="I72" s="130"/>
      <c r="J72" s="130"/>
      <c r="K72" s="130"/>
      <c r="L72" s="130"/>
      <c r="M72" s="130"/>
      <c r="N72" s="130"/>
      <c r="O72" s="147"/>
    </row>
    <row r="73" spans="1:34" ht="15" customHeight="1">
      <c r="A73" s="7"/>
      <c r="B73" s="139"/>
      <c r="C73" s="139"/>
      <c r="D73" s="139"/>
      <c r="E73" s="139"/>
      <c r="F73" s="139"/>
      <c r="G73" s="139"/>
      <c r="H73" s="139"/>
      <c r="I73" s="139"/>
      <c r="J73" s="139"/>
      <c r="K73" s="139"/>
      <c r="L73" s="139"/>
      <c r="M73" s="139"/>
      <c r="N73" s="139"/>
      <c r="O73" s="148"/>
    </row>
    <row r="74" spans="1:34" ht="15" customHeight="1">
      <c r="A74" s="7"/>
      <c r="B74" s="139"/>
      <c r="C74" s="139"/>
      <c r="D74" s="139"/>
      <c r="E74" s="139"/>
      <c r="F74" s="139"/>
      <c r="G74" s="139"/>
      <c r="H74" s="139"/>
      <c r="I74" s="139"/>
      <c r="J74" s="139"/>
      <c r="K74" s="139"/>
      <c r="L74" s="139"/>
      <c r="M74" s="139"/>
      <c r="N74" s="139"/>
      <c r="O74" s="148"/>
    </row>
    <row r="75" spans="1:34" ht="15" customHeight="1">
      <c r="A75" s="7"/>
      <c r="B75" s="139"/>
      <c r="C75" s="139"/>
      <c r="D75" s="139"/>
      <c r="E75" s="139"/>
      <c r="F75" s="139"/>
      <c r="G75" s="139"/>
      <c r="H75" s="139"/>
      <c r="I75" s="139"/>
      <c r="J75" s="139"/>
      <c r="K75" s="139"/>
      <c r="L75" s="139"/>
      <c r="M75" s="139"/>
      <c r="N75" s="139"/>
      <c r="O75" s="148"/>
    </row>
    <row r="76" spans="1:34" ht="15" customHeight="1">
      <c r="A76" s="7"/>
      <c r="B76" s="139"/>
      <c r="C76" s="139"/>
      <c r="D76" s="139"/>
      <c r="E76" s="139"/>
      <c r="F76" s="139"/>
      <c r="G76" s="139"/>
      <c r="H76" s="139"/>
      <c r="I76" s="139"/>
      <c r="J76" s="139"/>
      <c r="K76" s="139"/>
      <c r="L76" s="139"/>
      <c r="M76" s="139"/>
      <c r="N76" s="139"/>
      <c r="O76" s="148"/>
    </row>
    <row r="77" spans="1:34" ht="15" customHeight="1">
      <c r="A77" s="7"/>
      <c r="B77" s="139"/>
      <c r="C77" s="139"/>
      <c r="D77" s="139"/>
      <c r="E77" s="139"/>
      <c r="F77" s="139"/>
      <c r="G77" s="139"/>
      <c r="H77" s="139"/>
      <c r="I77" s="139"/>
      <c r="J77" s="139"/>
      <c r="K77" s="139"/>
      <c r="L77" s="139"/>
      <c r="M77" s="139"/>
      <c r="N77" s="139"/>
      <c r="O77" s="148"/>
    </row>
    <row r="78" spans="1:34" ht="15" customHeight="1">
      <c r="A78" s="7"/>
      <c r="B78" s="139"/>
      <c r="C78" s="139"/>
      <c r="D78" s="139"/>
      <c r="E78" s="139"/>
      <c r="F78" s="139"/>
      <c r="G78" s="139"/>
      <c r="H78" s="139"/>
      <c r="I78" s="139"/>
      <c r="J78" s="139"/>
      <c r="K78" s="139"/>
      <c r="L78" s="139"/>
      <c r="M78" s="139"/>
      <c r="N78" s="139"/>
      <c r="O78" s="148"/>
    </row>
    <row r="79" spans="1:34" ht="15" customHeight="1">
      <c r="B79" s="139"/>
      <c r="C79" s="139"/>
      <c r="D79" s="139"/>
      <c r="E79" s="139"/>
      <c r="F79" s="139"/>
      <c r="G79" s="139"/>
      <c r="H79" s="139"/>
      <c r="I79" s="139"/>
      <c r="J79" s="139"/>
      <c r="K79" s="139"/>
      <c r="L79" s="139"/>
      <c r="M79" s="139"/>
      <c r="N79" s="139"/>
      <c r="O79" s="148"/>
    </row>
    <row r="80" spans="1:34" ht="15" customHeight="1">
      <c r="B80" s="139"/>
      <c r="C80" s="139"/>
      <c r="D80" s="139"/>
      <c r="E80" s="139"/>
      <c r="F80" s="139"/>
      <c r="G80" s="139"/>
      <c r="H80" s="139"/>
      <c r="I80" s="139"/>
      <c r="J80" s="139"/>
      <c r="K80" s="139"/>
      <c r="L80" s="139"/>
      <c r="M80" s="139"/>
      <c r="N80" s="139"/>
      <c r="O80" s="148"/>
    </row>
    <row r="81" spans="2:15" ht="15" customHeight="1">
      <c r="B81" s="139"/>
      <c r="C81" s="139"/>
      <c r="D81" s="139"/>
      <c r="E81" s="139"/>
      <c r="F81" s="139"/>
      <c r="G81" s="139"/>
      <c r="H81" s="139"/>
      <c r="I81" s="139"/>
      <c r="J81" s="139"/>
      <c r="K81" s="139"/>
      <c r="L81" s="139"/>
      <c r="M81" s="139"/>
      <c r="N81" s="139"/>
      <c r="O81" s="148"/>
    </row>
    <row r="82" spans="2:15" ht="15" customHeight="1">
      <c r="B82" s="139"/>
      <c r="C82" s="139"/>
      <c r="D82" s="139"/>
      <c r="E82" s="139"/>
      <c r="F82" s="139"/>
      <c r="G82" s="139"/>
      <c r="H82" s="139"/>
      <c r="I82" s="139"/>
      <c r="J82" s="139"/>
      <c r="K82" s="139"/>
      <c r="L82" s="139"/>
      <c r="M82" s="139"/>
      <c r="N82" s="139"/>
      <c r="O82" s="148"/>
    </row>
    <row r="83" spans="2:15" ht="15" customHeight="1">
      <c r="B83" s="139"/>
      <c r="C83" s="139"/>
      <c r="D83" s="139"/>
      <c r="E83" s="139"/>
      <c r="F83" s="139"/>
      <c r="G83" s="139"/>
      <c r="H83" s="139"/>
      <c r="I83" s="139"/>
      <c r="J83" s="139"/>
      <c r="K83" s="139"/>
      <c r="L83" s="139"/>
      <c r="M83" s="139"/>
      <c r="N83" s="139"/>
      <c r="O83" s="148"/>
    </row>
    <row r="84" spans="2:15" ht="15" customHeight="1">
      <c r="B84" s="139"/>
      <c r="C84" s="139"/>
      <c r="D84" s="139"/>
      <c r="E84" s="139"/>
      <c r="F84" s="139"/>
      <c r="G84" s="139"/>
      <c r="H84" s="139"/>
      <c r="I84" s="139"/>
      <c r="J84" s="139"/>
      <c r="K84" s="139"/>
      <c r="L84" s="139"/>
      <c r="M84" s="139"/>
      <c r="N84" s="139"/>
      <c r="O84" s="148"/>
    </row>
    <row r="85" spans="2:15" ht="15" customHeight="1">
      <c r="B85" s="139"/>
      <c r="C85" s="139"/>
      <c r="D85" s="139"/>
      <c r="E85" s="139"/>
      <c r="F85" s="139"/>
      <c r="G85" s="139"/>
      <c r="H85" s="139"/>
      <c r="I85" s="139"/>
      <c r="J85" s="139"/>
      <c r="K85" s="139"/>
      <c r="L85" s="139"/>
      <c r="M85" s="139"/>
      <c r="N85" s="139"/>
      <c r="O85" s="148"/>
    </row>
    <row r="86" spans="2:15" ht="15" customHeight="1">
      <c r="B86" s="139"/>
      <c r="C86" s="139"/>
      <c r="D86" s="139"/>
      <c r="E86" s="139"/>
      <c r="F86" s="139"/>
      <c r="G86" s="139"/>
      <c r="H86" s="139"/>
      <c r="I86" s="139"/>
      <c r="J86" s="139"/>
      <c r="K86" s="139"/>
      <c r="L86" s="139"/>
      <c r="M86" s="139"/>
      <c r="N86" s="139"/>
      <c r="O86" s="148"/>
    </row>
    <row r="87" spans="2:15" ht="15" customHeight="1">
      <c r="B87" s="139"/>
      <c r="C87" s="139"/>
      <c r="D87" s="139"/>
      <c r="E87" s="139"/>
      <c r="F87" s="139"/>
      <c r="G87" s="139"/>
      <c r="H87" s="139"/>
      <c r="I87" s="139"/>
      <c r="J87" s="139"/>
      <c r="K87" s="139"/>
      <c r="L87" s="139"/>
      <c r="M87" s="139"/>
      <c r="N87" s="139"/>
      <c r="O87" s="148"/>
    </row>
    <row r="88" spans="2:15" ht="15" customHeight="1">
      <c r="B88" s="139"/>
      <c r="C88" s="139"/>
      <c r="D88" s="139"/>
      <c r="E88" s="139"/>
      <c r="F88" s="139"/>
      <c r="G88" s="139"/>
      <c r="H88" s="139"/>
      <c r="I88" s="139"/>
      <c r="J88" s="139"/>
      <c r="K88" s="139"/>
      <c r="L88" s="139"/>
      <c r="M88" s="139"/>
      <c r="N88" s="139"/>
      <c r="O88" s="148"/>
    </row>
    <row r="89" spans="2:15" ht="15" customHeight="1">
      <c r="B89" s="139"/>
      <c r="C89" s="139"/>
      <c r="D89" s="139"/>
      <c r="E89" s="139"/>
      <c r="F89" s="139"/>
      <c r="G89" s="139"/>
      <c r="H89" s="139"/>
      <c r="I89" s="139"/>
      <c r="J89" s="139"/>
      <c r="K89" s="139"/>
      <c r="L89" s="139"/>
      <c r="M89" s="139"/>
      <c r="N89" s="139"/>
      <c r="O89" s="148"/>
    </row>
    <row r="90" spans="2:15" ht="15" customHeight="1">
      <c r="B90" s="139"/>
      <c r="C90" s="139"/>
      <c r="D90" s="139"/>
      <c r="E90" s="139"/>
      <c r="F90" s="139"/>
      <c r="G90" s="139"/>
      <c r="H90" s="139"/>
      <c r="I90" s="139"/>
      <c r="J90" s="139"/>
      <c r="K90" s="139"/>
      <c r="L90" s="139"/>
      <c r="M90" s="139"/>
      <c r="N90" s="139"/>
      <c r="O90" s="148"/>
    </row>
    <row r="91" spans="2:15" ht="15" customHeight="1">
      <c r="B91" s="139"/>
      <c r="C91" s="139"/>
      <c r="D91" s="139"/>
      <c r="E91" s="139"/>
      <c r="F91" s="139"/>
      <c r="G91" s="139"/>
      <c r="H91" s="139"/>
      <c r="I91" s="139"/>
      <c r="J91" s="139"/>
      <c r="K91" s="139"/>
      <c r="L91" s="139"/>
      <c r="M91" s="139"/>
      <c r="N91" s="139"/>
      <c r="O91" s="148"/>
    </row>
    <row r="92" spans="2:15" ht="15" customHeight="1">
      <c r="B92" s="139"/>
      <c r="C92" s="139"/>
      <c r="D92" s="139"/>
      <c r="E92" s="139"/>
      <c r="F92" s="139"/>
      <c r="G92" s="139"/>
      <c r="H92" s="139"/>
      <c r="I92" s="139"/>
      <c r="J92" s="139"/>
      <c r="K92" s="139"/>
      <c r="L92" s="139"/>
      <c r="M92" s="139"/>
      <c r="N92" s="139"/>
      <c r="O92" s="148"/>
    </row>
    <row r="93" spans="2:15" ht="15" customHeight="1">
      <c r="B93" s="139"/>
      <c r="C93" s="139"/>
      <c r="D93" s="139"/>
      <c r="E93" s="139"/>
      <c r="F93" s="139"/>
      <c r="G93" s="139"/>
      <c r="H93" s="139"/>
      <c r="I93" s="139"/>
      <c r="J93" s="139"/>
      <c r="K93" s="139"/>
      <c r="L93" s="139"/>
      <c r="M93" s="139"/>
      <c r="N93" s="139"/>
      <c r="O93" s="148"/>
    </row>
    <row r="94" spans="2:15" ht="15" customHeight="1">
      <c r="B94" s="139"/>
      <c r="C94" s="139"/>
      <c r="D94" s="139"/>
      <c r="E94" s="139"/>
      <c r="F94" s="139"/>
      <c r="G94" s="139"/>
      <c r="H94" s="139"/>
      <c r="I94" s="139"/>
      <c r="J94" s="139"/>
      <c r="K94" s="139"/>
      <c r="L94" s="139"/>
      <c r="M94" s="139"/>
      <c r="N94" s="139"/>
      <c r="O94" s="148"/>
    </row>
    <row r="95" spans="2:15" ht="15" customHeight="1">
      <c r="B95" s="139"/>
      <c r="C95" s="139"/>
      <c r="D95" s="139"/>
      <c r="E95" s="139"/>
      <c r="F95" s="139"/>
      <c r="G95" s="139"/>
      <c r="H95" s="139"/>
      <c r="I95" s="139"/>
      <c r="J95" s="139"/>
      <c r="K95" s="139"/>
      <c r="L95" s="139"/>
      <c r="M95" s="139"/>
      <c r="N95" s="139"/>
      <c r="O95" s="148"/>
    </row>
    <row r="96" spans="2:15" ht="15" customHeight="1">
      <c r="B96" s="131"/>
      <c r="C96" s="131"/>
      <c r="D96" s="131"/>
      <c r="E96" s="131"/>
      <c r="F96" s="131"/>
      <c r="G96" s="131"/>
      <c r="H96" s="131"/>
      <c r="I96" s="131"/>
      <c r="J96" s="131"/>
      <c r="K96" s="131"/>
      <c r="L96" s="131"/>
      <c r="M96" s="131"/>
      <c r="N96" s="131"/>
      <c r="O96" s="149"/>
    </row>
    <row r="97" spans="2:34" ht="15" customHeight="1"/>
    <row r="98" spans="2:34" ht="15" customHeight="1">
      <c r="B98" s="11"/>
      <c r="C98" s="11"/>
      <c r="D98" s="11"/>
      <c r="E98" s="10" t="s">
        <v>4</v>
      </c>
      <c r="F98" s="180" t="str">
        <f>C3</f>
        <v>Avista</v>
      </c>
      <c r="G98" s="181"/>
      <c r="H98" s="182"/>
    </row>
    <row r="99" spans="2:34" ht="15" customHeight="1">
      <c r="E99" s="10" t="s">
        <v>47</v>
      </c>
      <c r="F99" s="183">
        <v>2015</v>
      </c>
      <c r="G99" s="184"/>
      <c r="H99" s="185"/>
    </row>
    <row r="100" spans="2:34" ht="15" customHeight="1">
      <c r="B100" s="11" t="s">
        <v>62</v>
      </c>
      <c r="C100" s="11"/>
      <c r="D100" s="11"/>
      <c r="E100" s="10"/>
      <c r="F100" s="45"/>
    </row>
    <row r="101" spans="2:34" ht="15" customHeight="1">
      <c r="B101" s="24"/>
      <c r="C101" s="24"/>
      <c r="D101" s="24"/>
      <c r="E101" s="24"/>
      <c r="F101" s="24"/>
      <c r="G101" s="24"/>
      <c r="H101" s="24"/>
      <c r="I101" s="24"/>
      <c r="J101" s="24"/>
      <c r="K101" s="24"/>
      <c r="L101" s="24"/>
      <c r="M101" s="24"/>
    </row>
    <row r="102" spans="2:34" ht="15" customHeight="1">
      <c r="B102" s="24"/>
      <c r="C102" s="24"/>
      <c r="D102" s="24"/>
      <c r="E102" s="24"/>
      <c r="F102" s="24"/>
      <c r="G102" s="24"/>
      <c r="H102" s="24"/>
      <c r="I102" s="24"/>
      <c r="J102" s="24"/>
      <c r="K102" s="24"/>
      <c r="L102" s="24"/>
      <c r="M102" s="24"/>
    </row>
    <row r="103" spans="2:34" s="7" customFormat="1" ht="15" customHeight="1">
      <c r="B103" s="24"/>
      <c r="C103" s="24"/>
      <c r="D103" s="24"/>
      <c r="E103" s="24"/>
      <c r="F103" s="24"/>
      <c r="G103" s="24"/>
      <c r="H103" s="24"/>
      <c r="I103" s="24"/>
      <c r="J103" s="24"/>
      <c r="K103" s="24"/>
      <c r="L103" s="24"/>
      <c r="M103" s="24"/>
      <c r="AH103" s="1"/>
    </row>
    <row r="104" spans="2:34" s="7" customFormat="1" ht="15" customHeight="1">
      <c r="B104" s="24"/>
      <c r="C104" s="24"/>
      <c r="D104" s="24"/>
      <c r="E104" s="24"/>
      <c r="F104" s="24"/>
      <c r="G104" s="24"/>
      <c r="H104" s="24"/>
      <c r="I104" s="24"/>
      <c r="J104" s="24"/>
      <c r="K104" s="24"/>
      <c r="L104" s="24"/>
      <c r="M104" s="24"/>
    </row>
    <row r="105" spans="2:34" s="7" customFormat="1">
      <c r="B105" s="24"/>
      <c r="C105" s="24"/>
      <c r="D105" s="24"/>
      <c r="E105" s="24"/>
      <c r="F105" s="24"/>
      <c r="G105" s="24"/>
      <c r="H105" s="24"/>
      <c r="I105" s="24"/>
      <c r="J105" s="24"/>
      <c r="K105" s="24"/>
      <c r="L105" s="24"/>
      <c r="M105" s="24"/>
    </row>
    <row r="106" spans="2:34" s="7" customFormat="1">
      <c r="B106" s="24"/>
      <c r="C106" s="24"/>
      <c r="D106" s="24"/>
      <c r="E106" s="24"/>
      <c r="F106" s="24"/>
      <c r="G106" s="24"/>
      <c r="H106" s="24"/>
      <c r="I106" s="24"/>
      <c r="J106" s="24"/>
      <c r="K106" s="24"/>
      <c r="L106" s="24"/>
      <c r="M106" s="24"/>
    </row>
    <row r="107" spans="2:34" s="7" customFormat="1">
      <c r="B107" s="24"/>
      <c r="C107" s="24"/>
      <c r="D107" s="24"/>
      <c r="E107" s="24"/>
      <c r="F107" s="24"/>
      <c r="G107" s="24"/>
      <c r="H107" s="24"/>
      <c r="I107" s="24"/>
      <c r="J107" s="24"/>
      <c r="K107" s="24"/>
      <c r="L107" s="24"/>
      <c r="M107" s="24"/>
    </row>
    <row r="108" spans="2:34">
      <c r="B108" s="24"/>
      <c r="C108" s="24"/>
      <c r="D108" s="24"/>
      <c r="E108" s="24"/>
      <c r="F108" s="24"/>
      <c r="G108" s="24"/>
      <c r="H108" s="24"/>
      <c r="I108" s="24"/>
      <c r="J108" s="24"/>
      <c r="K108" s="24"/>
      <c r="L108" s="24"/>
      <c r="M108" s="24"/>
      <c r="AH108" s="7"/>
    </row>
    <row r="109" spans="2:34">
      <c r="B109" s="24"/>
      <c r="C109" s="24"/>
      <c r="D109" s="24"/>
      <c r="E109" s="24"/>
      <c r="F109" s="24"/>
      <c r="G109" s="24"/>
      <c r="H109" s="24"/>
      <c r="I109" s="24"/>
      <c r="J109" s="24"/>
      <c r="K109" s="24"/>
      <c r="L109" s="24"/>
      <c r="M109" s="24"/>
    </row>
    <row r="110" spans="2:34">
      <c r="B110" s="24"/>
      <c r="C110" s="24"/>
      <c r="D110" s="24"/>
      <c r="E110" s="24"/>
      <c r="F110" s="24"/>
      <c r="G110" s="24"/>
      <c r="H110" s="24"/>
      <c r="I110" s="24"/>
      <c r="J110" s="24"/>
      <c r="K110" s="24"/>
      <c r="L110" s="24"/>
      <c r="M110" s="24"/>
    </row>
    <row r="111" spans="2:34">
      <c r="B111" s="24"/>
      <c r="C111" s="24"/>
      <c r="D111" s="24"/>
      <c r="E111" s="24"/>
      <c r="F111" s="24"/>
      <c r="G111" s="24"/>
      <c r="H111" s="24"/>
      <c r="I111" s="24"/>
      <c r="J111" s="24"/>
      <c r="K111" s="24"/>
      <c r="L111" s="24"/>
      <c r="M111" s="24"/>
    </row>
    <row r="112" spans="2:34">
      <c r="B112" s="24"/>
      <c r="C112" s="24"/>
      <c r="D112" s="24"/>
      <c r="E112" s="24"/>
      <c r="F112" s="24"/>
      <c r="G112" s="24"/>
      <c r="H112" s="24"/>
      <c r="I112" s="24"/>
      <c r="J112" s="24"/>
      <c r="K112" s="24"/>
      <c r="L112" s="24"/>
      <c r="M112" s="24"/>
    </row>
    <row r="113" spans="2:13">
      <c r="B113" s="24"/>
      <c r="C113" s="24"/>
      <c r="D113" s="24"/>
      <c r="E113" s="24"/>
      <c r="F113" s="24"/>
      <c r="G113" s="24"/>
      <c r="H113" s="24"/>
      <c r="I113" s="24"/>
      <c r="J113" s="24"/>
      <c r="K113" s="24"/>
      <c r="L113" s="24"/>
      <c r="M113" s="24"/>
    </row>
    <row r="114" spans="2:13">
      <c r="B114" s="24"/>
      <c r="C114" s="24"/>
      <c r="D114" s="24"/>
      <c r="E114" s="24"/>
      <c r="F114" s="24"/>
      <c r="G114" s="24"/>
      <c r="H114" s="24"/>
      <c r="I114" s="24"/>
      <c r="J114" s="24"/>
      <c r="K114" s="24"/>
      <c r="L114" s="24"/>
      <c r="M114" s="24"/>
    </row>
    <row r="115" spans="2:13">
      <c r="B115" s="2" t="s">
        <v>63</v>
      </c>
      <c r="C115" s="24"/>
      <c r="D115" s="24"/>
      <c r="E115" s="24"/>
      <c r="F115" s="24"/>
      <c r="G115" s="24"/>
      <c r="H115" s="24"/>
      <c r="I115" s="24"/>
      <c r="J115" s="24"/>
      <c r="K115" s="24"/>
      <c r="L115" s="24"/>
      <c r="M115" s="24"/>
    </row>
    <row r="116" spans="2:13">
      <c r="B116" s="24"/>
      <c r="C116" s="24"/>
      <c r="D116" s="24"/>
      <c r="E116" s="24"/>
      <c r="F116" s="24"/>
      <c r="G116" s="24"/>
      <c r="H116" s="24"/>
      <c r="I116" s="24"/>
      <c r="J116" s="24"/>
      <c r="K116" s="24"/>
      <c r="L116" s="24"/>
      <c r="M116" s="24"/>
    </row>
    <row r="117" spans="2:13">
      <c r="B117" s="24"/>
      <c r="C117" s="24"/>
      <c r="D117" s="24"/>
      <c r="E117" s="24"/>
      <c r="F117" s="24"/>
      <c r="G117" s="24"/>
      <c r="H117" s="24"/>
      <c r="I117" s="24"/>
      <c r="J117" s="24"/>
      <c r="K117" s="24"/>
      <c r="L117" s="24"/>
      <c r="M117" s="24"/>
    </row>
    <row r="118" spans="2:13">
      <c r="B118" s="24"/>
      <c r="C118" s="24"/>
      <c r="D118" s="24"/>
      <c r="E118" s="24"/>
      <c r="F118" s="24"/>
      <c r="G118" s="24"/>
      <c r="H118" s="24"/>
      <c r="I118" s="24"/>
      <c r="J118" s="24"/>
      <c r="K118" s="24"/>
      <c r="L118" s="24"/>
      <c r="M118" s="24"/>
    </row>
    <row r="119" spans="2:13">
      <c r="B119" s="24"/>
      <c r="C119" s="24"/>
      <c r="D119" s="24"/>
      <c r="E119" s="24"/>
      <c r="F119" s="24"/>
      <c r="G119" s="24"/>
      <c r="H119" s="24"/>
      <c r="I119" s="24"/>
      <c r="J119" s="24"/>
      <c r="K119" s="24"/>
      <c r="L119" s="24"/>
      <c r="M119" s="24"/>
    </row>
    <row r="120" spans="2:13">
      <c r="B120" s="24"/>
      <c r="C120" s="24"/>
      <c r="D120" s="24"/>
      <c r="E120" s="24"/>
      <c r="F120" s="24"/>
      <c r="G120" s="24"/>
      <c r="H120" s="24"/>
      <c r="I120" s="24"/>
      <c r="J120" s="24"/>
      <c r="K120" s="24"/>
      <c r="L120" s="24"/>
      <c r="M120" s="24"/>
    </row>
    <row r="121" spans="2:13">
      <c r="B121" s="24"/>
      <c r="C121" s="24"/>
      <c r="D121" s="24"/>
      <c r="E121" s="24"/>
      <c r="F121" s="24"/>
      <c r="G121" s="24"/>
      <c r="H121" s="24"/>
      <c r="I121" s="24"/>
      <c r="J121" s="24"/>
      <c r="K121" s="24"/>
      <c r="L121" s="24"/>
      <c r="M121" s="24"/>
    </row>
    <row r="122" spans="2:13">
      <c r="B122" s="24"/>
      <c r="C122" s="24"/>
      <c r="D122" s="24"/>
      <c r="E122" s="24"/>
      <c r="F122" s="24"/>
      <c r="G122" s="24"/>
      <c r="H122" s="24"/>
      <c r="I122" s="24"/>
      <c r="J122" s="24"/>
      <c r="K122" s="24"/>
      <c r="L122" s="24"/>
      <c r="M122" s="24"/>
    </row>
    <row r="123" spans="2:13">
      <c r="B123" s="24"/>
      <c r="C123" s="24"/>
      <c r="D123" s="24"/>
      <c r="E123" s="24"/>
      <c r="F123" s="24"/>
      <c r="G123" s="24"/>
      <c r="H123" s="24"/>
      <c r="I123" s="24"/>
      <c r="J123" s="24"/>
      <c r="K123" s="24"/>
      <c r="L123" s="24"/>
      <c r="M123" s="24"/>
    </row>
    <row r="124" spans="2:13">
      <c r="B124" s="24"/>
      <c r="C124" s="24"/>
      <c r="D124" s="24"/>
      <c r="E124" s="24"/>
      <c r="F124" s="24"/>
      <c r="G124" s="24"/>
      <c r="H124" s="24"/>
      <c r="I124" s="24"/>
      <c r="J124" s="24"/>
      <c r="K124" s="24"/>
      <c r="L124" s="24"/>
      <c r="M124" s="24"/>
    </row>
    <row r="125" spans="2:13">
      <c r="B125" s="24"/>
      <c r="C125" s="24"/>
      <c r="D125" s="24"/>
      <c r="E125" s="24"/>
      <c r="F125" s="24"/>
      <c r="G125" s="24"/>
      <c r="H125" s="24"/>
      <c r="I125" s="24"/>
      <c r="J125" s="24"/>
      <c r="K125" s="24"/>
      <c r="L125" s="24"/>
      <c r="M125" s="24"/>
    </row>
    <row r="126" spans="2:13">
      <c r="B126" s="24"/>
      <c r="C126" s="24"/>
      <c r="D126" s="24"/>
      <c r="E126" s="24"/>
      <c r="F126" s="24"/>
      <c r="G126" s="24"/>
      <c r="H126" s="24"/>
      <c r="I126" s="24"/>
      <c r="J126" s="24"/>
      <c r="K126" s="24"/>
      <c r="L126" s="24"/>
      <c r="M126" s="24"/>
    </row>
    <row r="127" spans="2:13">
      <c r="B127" s="24"/>
      <c r="C127" s="24"/>
      <c r="D127" s="24"/>
      <c r="E127" s="24"/>
      <c r="F127" s="24"/>
      <c r="G127" s="24"/>
      <c r="H127" s="24"/>
      <c r="I127" s="24"/>
      <c r="J127" s="24"/>
      <c r="K127" s="24"/>
      <c r="L127" s="24"/>
      <c r="M127" s="24"/>
    </row>
    <row r="128" spans="2:13">
      <c r="B128" s="24"/>
      <c r="C128" s="24"/>
      <c r="D128" s="24"/>
      <c r="E128" s="24"/>
      <c r="F128" s="24"/>
      <c r="G128" s="24"/>
      <c r="H128" s="24"/>
      <c r="I128" s="24"/>
      <c r="J128" s="24"/>
      <c r="K128" s="24"/>
      <c r="L128" s="24"/>
      <c r="M128" s="24"/>
    </row>
    <row r="129" spans="2:13">
      <c r="B129" s="24"/>
      <c r="C129" s="24"/>
      <c r="D129" s="24"/>
      <c r="E129" s="24"/>
      <c r="F129" s="24"/>
      <c r="G129" s="24"/>
      <c r="H129" s="24"/>
      <c r="I129" s="24"/>
      <c r="J129" s="24"/>
      <c r="K129" s="24"/>
      <c r="L129" s="24"/>
      <c r="M129" s="24"/>
    </row>
    <row r="130" spans="2:13">
      <c r="B130" s="24"/>
      <c r="C130" s="24"/>
      <c r="D130" s="24"/>
      <c r="E130" s="24"/>
      <c r="F130" s="24"/>
      <c r="G130" s="24"/>
      <c r="H130" s="24"/>
      <c r="I130" s="24"/>
      <c r="J130" s="24"/>
      <c r="K130" s="24"/>
      <c r="L130" s="24"/>
      <c r="M130" s="24"/>
    </row>
    <row r="131" spans="2:13">
      <c r="B131" s="24"/>
      <c r="C131" s="24"/>
      <c r="D131" s="24"/>
      <c r="E131" s="24"/>
      <c r="F131" s="24"/>
      <c r="G131" s="24"/>
      <c r="H131" s="24"/>
      <c r="I131" s="24"/>
      <c r="J131" s="24"/>
      <c r="K131" s="24"/>
      <c r="L131" s="24"/>
      <c r="M131" s="24"/>
    </row>
    <row r="132" spans="2:13">
      <c r="B132" s="24"/>
      <c r="C132" s="24"/>
      <c r="D132" s="24"/>
      <c r="E132" s="24"/>
      <c r="F132" s="24"/>
      <c r="G132" s="24"/>
      <c r="H132" s="24"/>
      <c r="I132" s="24"/>
      <c r="J132" s="24"/>
      <c r="K132" s="24"/>
      <c r="L132" s="24"/>
      <c r="M132" s="24"/>
    </row>
    <row r="133" spans="2:13">
      <c r="B133" s="24"/>
      <c r="C133" s="24"/>
      <c r="D133" s="24"/>
      <c r="E133" s="24"/>
      <c r="F133" s="24"/>
      <c r="G133" s="24"/>
      <c r="H133" s="24"/>
      <c r="I133" s="24"/>
      <c r="J133" s="24"/>
      <c r="K133" s="24"/>
      <c r="L133" s="24"/>
      <c r="M133" s="24"/>
    </row>
    <row r="134" spans="2:13">
      <c r="B134" s="24"/>
      <c r="C134" s="24"/>
      <c r="D134" s="24"/>
      <c r="E134" s="24"/>
      <c r="F134" s="24"/>
      <c r="G134" s="24"/>
      <c r="H134" s="24"/>
      <c r="I134" s="24"/>
      <c r="J134" s="24"/>
      <c r="K134" s="24"/>
      <c r="L134" s="24"/>
      <c r="M134" s="24"/>
    </row>
    <row r="135" spans="2:13">
      <c r="B135" s="24"/>
      <c r="C135" s="24"/>
      <c r="D135" s="24"/>
      <c r="E135" s="24"/>
      <c r="F135" s="24"/>
      <c r="G135" s="24"/>
      <c r="H135" s="24"/>
      <c r="I135" s="24"/>
      <c r="J135" s="24"/>
      <c r="K135" s="24"/>
      <c r="L135" s="24"/>
      <c r="M135" s="24"/>
    </row>
    <row r="136" spans="2:13">
      <c r="B136" s="24"/>
      <c r="C136" s="24"/>
      <c r="D136" s="24"/>
      <c r="E136" s="24"/>
      <c r="F136" s="24"/>
      <c r="G136" s="24"/>
      <c r="H136" s="24"/>
      <c r="I136" s="24"/>
      <c r="J136" s="24"/>
      <c r="K136" s="24"/>
      <c r="L136" s="24"/>
      <c r="M136" s="24"/>
    </row>
  </sheetData>
  <mergeCells count="16">
    <mergeCell ref="I2:N2"/>
    <mergeCell ref="G10:N10"/>
    <mergeCell ref="C3:E3"/>
    <mergeCell ref="C4:E4"/>
    <mergeCell ref="C5:E5"/>
    <mergeCell ref="C6:E6"/>
    <mergeCell ref="C7:E7"/>
    <mergeCell ref="I14:M14"/>
    <mergeCell ref="F66:H66"/>
    <mergeCell ref="F67:H67"/>
    <mergeCell ref="F98:H98"/>
    <mergeCell ref="F99:H99"/>
    <mergeCell ref="F36:H36"/>
    <mergeCell ref="F37:H37"/>
    <mergeCell ref="B39:G39"/>
    <mergeCell ref="C43:D43"/>
  </mergeCells>
  <hyperlinks>
    <hyperlink ref="C7" r:id="rId1"/>
  </hyperlinks>
  <pageMargins left="0.7" right="0.7" top="0.75" bottom="0.75" header="0.3" footer="0.3"/>
  <pageSetup scale="70" fitToHeight="0" orientation="landscape" r:id="rId2"/>
  <rowBreaks count="3" manualBreakCount="3">
    <brk id="34" max="12" man="1"/>
    <brk id="64" max="12" man="1"/>
    <brk id="97" max="12" man="1"/>
  </rowBreaks>
  <drawing r:id="rId3"/>
  <legacyDrawing r:id="rId4"/>
</worksheet>
</file>

<file path=xl/worksheets/sheet5.xml><?xml version="1.0" encoding="utf-8"?>
<worksheet xmlns="http://schemas.openxmlformats.org/spreadsheetml/2006/main" xmlns:r="http://schemas.openxmlformats.org/officeDocument/2006/relationships">
  <sheetPr>
    <tabColor theme="6"/>
    <pageSetUpPr fitToPage="1"/>
  </sheetPr>
  <dimension ref="A1:L77"/>
  <sheetViews>
    <sheetView showGridLines="0" view="pageBreakPreview" topLeftCell="A4" zoomScaleNormal="100" zoomScaleSheetLayoutView="100" workbookViewId="0">
      <selection activeCell="E18" sqref="E18"/>
    </sheetView>
  </sheetViews>
  <sheetFormatPr defaultColWidth="9.140625" defaultRowHeight="12.75"/>
  <cols>
    <col min="1" max="1" width="2.7109375" style="1" customWidth="1"/>
    <col min="2" max="2" width="30.140625" style="1" customWidth="1"/>
    <col min="3" max="3" width="10.85546875" style="1" customWidth="1"/>
    <col min="4" max="4" width="10.28515625" style="1" customWidth="1"/>
    <col min="5" max="5" width="14" style="1" customWidth="1"/>
    <col min="6" max="6" width="14.140625" style="1" customWidth="1"/>
    <col min="7" max="9" width="10.7109375" style="1" customWidth="1"/>
    <col min="10" max="10" width="15.7109375" style="1" customWidth="1"/>
    <col min="11" max="11" width="10.7109375" style="1" customWidth="1"/>
    <col min="12" max="12" width="16.5703125" style="1" customWidth="1"/>
    <col min="13" max="16384" width="9.140625" style="1"/>
  </cols>
  <sheetData>
    <row r="1" spans="2:12" s="7" customFormat="1" ht="19.5">
      <c r="B1" s="48" t="s">
        <v>166</v>
      </c>
      <c r="C1" s="48"/>
      <c r="D1" s="48"/>
    </row>
    <row r="2" spans="2:12" ht="15" customHeight="1"/>
    <row r="3" spans="2:12" ht="16.5" customHeight="1">
      <c r="B3" s="156" t="s">
        <v>167</v>
      </c>
      <c r="C3" s="6"/>
      <c r="D3" s="6"/>
      <c r="E3" s="10" t="s">
        <v>4</v>
      </c>
      <c r="F3" s="180" t="str">
        <f>'Renewables Report'!$C$3</f>
        <v>Avista</v>
      </c>
      <c r="G3" s="181"/>
      <c r="H3" s="182"/>
    </row>
    <row r="4" spans="2:12" ht="15" customHeight="1">
      <c r="E4" s="10" t="s">
        <v>13</v>
      </c>
      <c r="F4" s="206">
        <v>2015</v>
      </c>
      <c r="G4" s="207"/>
      <c r="H4" s="208"/>
    </row>
    <row r="5" spans="2:12" ht="15" customHeight="1">
      <c r="E5" s="10"/>
      <c r="F5" s="89"/>
      <c r="G5" s="9"/>
      <c r="H5" s="9"/>
    </row>
    <row r="6" spans="2:12" ht="48">
      <c r="B6" s="51" t="s">
        <v>35</v>
      </c>
      <c r="C6" s="94" t="s">
        <v>54</v>
      </c>
      <c r="D6" s="112" t="s">
        <v>7</v>
      </c>
      <c r="E6" s="107" t="s">
        <v>147</v>
      </c>
      <c r="F6" s="107" t="s">
        <v>149</v>
      </c>
      <c r="G6" s="212" t="s">
        <v>146</v>
      </c>
      <c r="H6" s="212"/>
      <c r="I6" s="212"/>
      <c r="J6" s="107" t="s">
        <v>148</v>
      </c>
      <c r="K6" s="107" t="s">
        <v>150</v>
      </c>
      <c r="L6" s="107" t="s">
        <v>151</v>
      </c>
    </row>
    <row r="7" spans="2:12" ht="15" customHeight="1">
      <c r="B7" s="95" t="str">
        <f>'Renewables Report'!B44</f>
        <v>Little Falls #4</v>
      </c>
      <c r="C7" s="96" t="str">
        <f>'Renewables Report'!C44</f>
        <v>W2102</v>
      </c>
      <c r="D7" s="97">
        <f>SUM('Renewables Report'!E44:M44)</f>
        <v>4862</v>
      </c>
      <c r="E7" s="150">
        <v>112198</v>
      </c>
      <c r="F7" s="101">
        <f>IF(D7&gt;0,E7/D7,"")</f>
        <v>23.076511723570547</v>
      </c>
      <c r="G7" s="200" t="s">
        <v>230</v>
      </c>
      <c r="H7" s="201"/>
      <c r="I7" s="202"/>
      <c r="J7" s="150">
        <v>269451.26</v>
      </c>
      <c r="K7" s="101">
        <f>IF(D7&gt;0,J7/D7,"")</f>
        <v>55.419839572192515</v>
      </c>
      <c r="L7" s="101">
        <f>MAX(0,E7-J7)</f>
        <v>0</v>
      </c>
    </row>
    <row r="8" spans="2:12" ht="15" customHeight="1">
      <c r="B8" s="98" t="str">
        <f>'Renewables Report'!B45</f>
        <v>Long Lake #3</v>
      </c>
      <c r="C8" s="99" t="str">
        <f>'Renewables Report'!C45</f>
        <v>W2103</v>
      </c>
      <c r="D8" s="100">
        <f>SUM('Renewables Report'!E45:M45)</f>
        <v>14197</v>
      </c>
      <c r="E8" s="151">
        <v>92282</v>
      </c>
      <c r="F8" s="102">
        <f t="shared" ref="F8:F27" si="0">IF(D8&gt;0,E8/D8,"")</f>
        <v>6.5001056561245329</v>
      </c>
      <c r="G8" s="200" t="s">
        <v>231</v>
      </c>
      <c r="H8" s="201"/>
      <c r="I8" s="202"/>
      <c r="J8" s="151">
        <v>1141013.3700000001</v>
      </c>
      <c r="K8" s="102">
        <f t="shared" ref="K8:K27" si="1">IF(D8&gt;0,J8/D8,"")</f>
        <v>80.370033809959864</v>
      </c>
      <c r="L8" s="102">
        <f t="shared" ref="L8:L27" si="2">MAX(0,E8-J8)</f>
        <v>0</v>
      </c>
    </row>
    <row r="9" spans="2:12" ht="15" customHeight="1">
      <c r="B9" s="98" t="str">
        <f>'Renewables Report'!B46</f>
        <v>Cabinet Gorge #2</v>
      </c>
      <c r="C9" s="99" t="str">
        <f>'Renewables Report'!C46</f>
        <v>W1560</v>
      </c>
      <c r="D9" s="100">
        <f>SUM('Renewables Report'!E46:M46)</f>
        <v>29008</v>
      </c>
      <c r="E9" s="151">
        <v>663840</v>
      </c>
      <c r="F9" s="102">
        <f t="shared" si="0"/>
        <v>22.884721456150029</v>
      </c>
      <c r="G9" s="200" t="s">
        <v>232</v>
      </c>
      <c r="H9" s="201"/>
      <c r="I9" s="202"/>
      <c r="J9" s="151">
        <v>3233260</v>
      </c>
      <c r="K9" s="102">
        <f t="shared" si="1"/>
        <v>111.46097628240486</v>
      </c>
      <c r="L9" s="102">
        <f t="shared" si="2"/>
        <v>0</v>
      </c>
    </row>
    <row r="10" spans="2:12" ht="15" customHeight="1">
      <c r="B10" s="98" t="str">
        <f>'Renewables Report'!B47</f>
        <v>Cabinet Gorge #3</v>
      </c>
      <c r="C10" s="99" t="str">
        <f>'Renewables Report'!C47</f>
        <v>W1561</v>
      </c>
      <c r="D10" s="100">
        <f>SUM('Renewables Report'!E47:M47)</f>
        <v>45808</v>
      </c>
      <c r="E10" s="151">
        <v>861603</v>
      </c>
      <c r="F10" s="102">
        <f t="shared" si="0"/>
        <v>18.80900716032134</v>
      </c>
      <c r="G10" s="200" t="s">
        <v>230</v>
      </c>
      <c r="H10" s="201"/>
      <c r="I10" s="202"/>
      <c r="J10" s="151">
        <v>3663667</v>
      </c>
      <c r="K10" s="102">
        <f t="shared" si="1"/>
        <v>79.978759168704158</v>
      </c>
      <c r="L10" s="102">
        <f t="shared" si="2"/>
        <v>0</v>
      </c>
    </row>
    <row r="11" spans="2:12" ht="15" customHeight="1">
      <c r="B11" s="98" t="str">
        <f>'Renewables Report'!B48</f>
        <v>Cabinet Gorge #4</v>
      </c>
      <c r="C11" s="99" t="str">
        <f>'Renewables Report'!C48</f>
        <v>W1562</v>
      </c>
      <c r="D11" s="100">
        <f>SUM('Renewables Report'!E48:M48)</f>
        <v>20517</v>
      </c>
      <c r="E11" s="151">
        <v>494522</v>
      </c>
      <c r="F11" s="102">
        <f t="shared" si="0"/>
        <v>24.103036506311838</v>
      </c>
      <c r="G11" s="200" t="s">
        <v>233</v>
      </c>
      <c r="H11" s="201"/>
      <c r="I11" s="202"/>
      <c r="J11" s="151">
        <v>2451932</v>
      </c>
      <c r="K11" s="102">
        <f t="shared" si="1"/>
        <v>119.50733538041624</v>
      </c>
      <c r="L11" s="102">
        <f t="shared" si="2"/>
        <v>0</v>
      </c>
    </row>
    <row r="12" spans="2:12" ht="15" customHeight="1">
      <c r="B12" s="98" t="str">
        <f>'Renewables Report'!B49</f>
        <v>Noxon Rapids #1</v>
      </c>
      <c r="C12" s="99" t="str">
        <f>'Renewables Report'!C49</f>
        <v>W1530</v>
      </c>
      <c r="D12" s="100">
        <f>SUM('Renewables Report'!E49:M49)</f>
        <v>21435</v>
      </c>
      <c r="E12" s="151">
        <v>1780183</v>
      </c>
      <c r="F12" s="102">
        <f t="shared" si="0"/>
        <v>83.050291579192915</v>
      </c>
      <c r="G12" s="200" t="s">
        <v>234</v>
      </c>
      <c r="H12" s="201"/>
      <c r="I12" s="202"/>
      <c r="J12" s="151">
        <v>2367976</v>
      </c>
      <c r="K12" s="102">
        <f t="shared" si="1"/>
        <v>110.47240494518311</v>
      </c>
      <c r="L12" s="102">
        <f t="shared" si="2"/>
        <v>0</v>
      </c>
    </row>
    <row r="13" spans="2:12" ht="15" customHeight="1">
      <c r="B13" s="98" t="str">
        <f>'Renewables Report'!B50</f>
        <v>Noxon Rapids #2</v>
      </c>
      <c r="C13" s="99" t="str">
        <f>'Renewables Report'!C50</f>
        <v>W1552</v>
      </c>
      <c r="D13" s="100">
        <f>SUM('Renewables Report'!E50:M50)</f>
        <v>7709</v>
      </c>
      <c r="E13" s="151">
        <v>887937</v>
      </c>
      <c r="F13" s="102">
        <f t="shared" si="0"/>
        <v>115.18186535218575</v>
      </c>
      <c r="G13" s="200" t="s">
        <v>234</v>
      </c>
      <c r="H13" s="201"/>
      <c r="I13" s="202"/>
      <c r="J13" s="151">
        <v>1570262</v>
      </c>
      <c r="K13" s="102">
        <f t="shared" si="1"/>
        <v>203.69204825528604</v>
      </c>
      <c r="L13" s="102">
        <f t="shared" si="2"/>
        <v>0</v>
      </c>
    </row>
    <row r="14" spans="2:12" ht="15" customHeight="1">
      <c r="B14" s="98" t="str">
        <f>'Renewables Report'!B51</f>
        <v>Noxon Rapids #3</v>
      </c>
      <c r="C14" s="99" t="str">
        <f>'Renewables Report'!C51</f>
        <v>W1554</v>
      </c>
      <c r="D14" s="100">
        <f>SUM('Renewables Report'!E51:M51)</f>
        <v>14529</v>
      </c>
      <c r="E14" s="151">
        <v>867560</v>
      </c>
      <c r="F14" s="102">
        <f t="shared" si="0"/>
        <v>59.71229953885333</v>
      </c>
      <c r="G14" s="200" t="s">
        <v>234</v>
      </c>
      <c r="H14" s="201"/>
      <c r="I14" s="202"/>
      <c r="J14" s="151">
        <v>1982089</v>
      </c>
      <c r="K14" s="102">
        <f t="shared" si="1"/>
        <v>136.42294720903021</v>
      </c>
      <c r="L14" s="102">
        <f t="shared" si="2"/>
        <v>0</v>
      </c>
    </row>
    <row r="15" spans="2:12" ht="15" customHeight="1">
      <c r="B15" s="98" t="str">
        <f>'Renewables Report'!B52</f>
        <v>Noxon Rapids #4</v>
      </c>
      <c r="C15" s="99" t="str">
        <f>'Renewables Report'!C52</f>
        <v>W1555</v>
      </c>
      <c r="D15" s="100">
        <f>SUM('Renewables Report'!E52:M52)</f>
        <v>12024</v>
      </c>
      <c r="E15" s="151">
        <v>782277</v>
      </c>
      <c r="F15" s="102">
        <f t="shared" si="0"/>
        <v>65.059630738522955</v>
      </c>
      <c r="G15" s="200" t="s">
        <v>234</v>
      </c>
      <c r="H15" s="201"/>
      <c r="I15" s="202"/>
      <c r="J15" s="151">
        <v>1948060</v>
      </c>
      <c r="K15" s="102">
        <f t="shared" si="1"/>
        <v>162.01430472388557</v>
      </c>
      <c r="L15" s="102">
        <f t="shared" si="2"/>
        <v>0</v>
      </c>
    </row>
    <row r="16" spans="2:12" ht="15" customHeight="1">
      <c r="B16" s="98" t="str">
        <f>'Renewables Report'!B53</f>
        <v>Wanapum Fish Bypass</v>
      </c>
      <c r="C16" s="99" t="str">
        <f>'Renewables Report'!C53</f>
        <v>N/A</v>
      </c>
      <c r="D16" s="100">
        <f>SUM('Renewables Report'!E53:M53)</f>
        <v>0</v>
      </c>
      <c r="E16" s="151">
        <v>0</v>
      </c>
      <c r="F16" s="102" t="str">
        <f t="shared" si="0"/>
        <v/>
      </c>
      <c r="G16" s="203" t="s">
        <v>235</v>
      </c>
      <c r="H16" s="204"/>
      <c r="I16" s="205"/>
      <c r="J16" s="151">
        <v>0</v>
      </c>
      <c r="K16" s="102" t="str">
        <f t="shared" si="1"/>
        <v/>
      </c>
      <c r="L16" s="102">
        <f t="shared" si="2"/>
        <v>0</v>
      </c>
    </row>
    <row r="17" spans="2:12" ht="15" customHeight="1">
      <c r="B17" s="98" t="str">
        <f>'Renewables Report'!B54</f>
        <v>Palouse Wind</v>
      </c>
      <c r="C17" s="99" t="str">
        <f>'Renewables Report'!C54</f>
        <v>W2906</v>
      </c>
      <c r="D17" s="100">
        <f>SUM('Renewables Report'!E54:M54)</f>
        <v>335291</v>
      </c>
      <c r="E17" s="151">
        <v>26265655</v>
      </c>
      <c r="F17" s="102">
        <f t="shared" si="0"/>
        <v>78.336892430754176</v>
      </c>
      <c r="G17" s="203" t="s">
        <v>236</v>
      </c>
      <c r="H17" s="204"/>
      <c r="I17" s="205"/>
      <c r="J17" s="151">
        <v>19405240.440000001</v>
      </c>
      <c r="K17" s="102">
        <f t="shared" si="1"/>
        <v>57.875816648821477</v>
      </c>
      <c r="L17" s="102">
        <f t="shared" si="2"/>
        <v>6860414.5599999987</v>
      </c>
    </row>
    <row r="18" spans="2:12" ht="15" customHeight="1">
      <c r="B18" s="98">
        <f>'Renewables Report'!B55</f>
        <v>0</v>
      </c>
      <c r="C18" s="99">
        <f>'Renewables Report'!C55</f>
        <v>0</v>
      </c>
      <c r="D18" s="100">
        <f>SUM('Renewables Report'!E55:M55)</f>
        <v>0</v>
      </c>
      <c r="E18" s="151"/>
      <c r="F18" s="102" t="str">
        <f t="shared" si="0"/>
        <v/>
      </c>
      <c r="G18" s="203"/>
      <c r="H18" s="204"/>
      <c r="I18" s="205"/>
      <c r="J18" s="151"/>
      <c r="K18" s="102" t="str">
        <f t="shared" si="1"/>
        <v/>
      </c>
      <c r="L18" s="102">
        <f t="shared" si="2"/>
        <v>0</v>
      </c>
    </row>
    <row r="19" spans="2:12" ht="15" customHeight="1">
      <c r="B19" s="98">
        <f>'Renewables Report'!B56</f>
        <v>0</v>
      </c>
      <c r="C19" s="99">
        <f>'Renewables Report'!C56</f>
        <v>0</v>
      </c>
      <c r="D19" s="100">
        <f>SUM('Renewables Report'!E56:M56)</f>
        <v>0</v>
      </c>
      <c r="E19" s="151"/>
      <c r="F19" s="102" t="str">
        <f t="shared" si="0"/>
        <v/>
      </c>
      <c r="G19" s="203"/>
      <c r="H19" s="204"/>
      <c r="I19" s="205"/>
      <c r="J19" s="151"/>
      <c r="K19" s="102" t="str">
        <f t="shared" si="1"/>
        <v/>
      </c>
      <c r="L19" s="102">
        <f t="shared" si="2"/>
        <v>0</v>
      </c>
    </row>
    <row r="20" spans="2:12" ht="15" customHeight="1">
      <c r="B20" s="98">
        <f>'Renewables Report'!B57</f>
        <v>0</v>
      </c>
      <c r="C20" s="99">
        <f>'Renewables Report'!C57</f>
        <v>0</v>
      </c>
      <c r="D20" s="100">
        <f>SUM('Renewables Report'!E57:M57)</f>
        <v>0</v>
      </c>
      <c r="E20" s="151"/>
      <c r="F20" s="102" t="str">
        <f t="shared" si="0"/>
        <v/>
      </c>
      <c r="G20" s="203"/>
      <c r="H20" s="204"/>
      <c r="I20" s="205"/>
      <c r="J20" s="151"/>
      <c r="K20" s="102" t="str">
        <f t="shared" si="1"/>
        <v/>
      </c>
      <c r="L20" s="102">
        <f t="shared" si="2"/>
        <v>0</v>
      </c>
    </row>
    <row r="21" spans="2:12" ht="15" customHeight="1">
      <c r="B21" s="98">
        <f>'Renewables Report'!B58</f>
        <v>0</v>
      </c>
      <c r="C21" s="99">
        <f>'Renewables Report'!C58</f>
        <v>0</v>
      </c>
      <c r="D21" s="100">
        <f>SUM('Renewables Report'!E58:M58)</f>
        <v>0</v>
      </c>
      <c r="E21" s="151"/>
      <c r="F21" s="102" t="str">
        <f t="shared" si="0"/>
        <v/>
      </c>
      <c r="G21" s="203"/>
      <c r="H21" s="204"/>
      <c r="I21" s="205"/>
      <c r="J21" s="151"/>
      <c r="K21" s="102" t="str">
        <f t="shared" si="1"/>
        <v/>
      </c>
      <c r="L21" s="102">
        <f t="shared" si="2"/>
        <v>0</v>
      </c>
    </row>
    <row r="22" spans="2:12" ht="15" customHeight="1">
      <c r="B22" s="98">
        <f>'Renewables Report'!B59</f>
        <v>0</v>
      </c>
      <c r="C22" s="99">
        <f>'Renewables Report'!C59</f>
        <v>0</v>
      </c>
      <c r="D22" s="100">
        <f>SUM('Renewables Report'!E59:M59)</f>
        <v>0</v>
      </c>
      <c r="E22" s="151"/>
      <c r="F22" s="102" t="str">
        <f t="shared" si="0"/>
        <v/>
      </c>
      <c r="G22" s="203"/>
      <c r="H22" s="204"/>
      <c r="I22" s="205"/>
      <c r="J22" s="151"/>
      <c r="K22" s="102" t="str">
        <f t="shared" si="1"/>
        <v/>
      </c>
      <c r="L22" s="102">
        <f t="shared" si="2"/>
        <v>0</v>
      </c>
    </row>
    <row r="23" spans="2:12" ht="15" customHeight="1">
      <c r="B23" s="98">
        <f>'Renewables Report'!B60</f>
        <v>0</v>
      </c>
      <c r="C23" s="99">
        <f>'Renewables Report'!C60</f>
        <v>0</v>
      </c>
      <c r="D23" s="100">
        <f>SUM('Renewables Report'!E60:M60)</f>
        <v>0</v>
      </c>
      <c r="E23" s="151"/>
      <c r="F23" s="102" t="str">
        <f t="shared" si="0"/>
        <v/>
      </c>
      <c r="G23" s="203"/>
      <c r="H23" s="204"/>
      <c r="I23" s="205"/>
      <c r="J23" s="151"/>
      <c r="K23" s="102" t="str">
        <f t="shared" si="1"/>
        <v/>
      </c>
      <c r="L23" s="102">
        <f t="shared" si="2"/>
        <v>0</v>
      </c>
    </row>
    <row r="24" spans="2:12" ht="15" customHeight="1">
      <c r="B24" s="98">
        <f>'Renewables Report'!B61</f>
        <v>0</v>
      </c>
      <c r="C24" s="99">
        <f>'Renewables Report'!C61</f>
        <v>0</v>
      </c>
      <c r="D24" s="100">
        <f>SUM('Renewables Report'!E61:M61)</f>
        <v>0</v>
      </c>
      <c r="E24" s="151"/>
      <c r="F24" s="102" t="str">
        <f t="shared" si="0"/>
        <v/>
      </c>
      <c r="G24" s="203"/>
      <c r="H24" s="204"/>
      <c r="I24" s="205"/>
      <c r="J24" s="151"/>
      <c r="K24" s="102" t="str">
        <f t="shared" si="1"/>
        <v/>
      </c>
      <c r="L24" s="102">
        <f t="shared" si="2"/>
        <v>0</v>
      </c>
    </row>
    <row r="25" spans="2:12" ht="15" customHeight="1">
      <c r="B25" s="98">
        <f>'Renewables Report'!B62</f>
        <v>0</v>
      </c>
      <c r="C25" s="99">
        <f>'Renewables Report'!C62</f>
        <v>0</v>
      </c>
      <c r="D25" s="100">
        <f>SUM('Renewables Report'!E62:M62)</f>
        <v>0</v>
      </c>
      <c r="E25" s="151"/>
      <c r="F25" s="102" t="str">
        <f t="shared" si="0"/>
        <v/>
      </c>
      <c r="G25" s="203"/>
      <c r="H25" s="204"/>
      <c r="I25" s="205"/>
      <c r="J25" s="151"/>
      <c r="K25" s="102" t="str">
        <f t="shared" si="1"/>
        <v/>
      </c>
      <c r="L25" s="102">
        <f t="shared" si="2"/>
        <v>0</v>
      </c>
    </row>
    <row r="26" spans="2:12" ht="15" customHeight="1">
      <c r="B26" s="98">
        <f>'Renewables Report'!B63</f>
        <v>0</v>
      </c>
      <c r="C26" s="99">
        <f>'Renewables Report'!C63</f>
        <v>0</v>
      </c>
      <c r="D26" s="100">
        <f>SUM('Renewables Report'!E63:M63)</f>
        <v>0</v>
      </c>
      <c r="E26" s="151"/>
      <c r="F26" s="102" t="str">
        <f t="shared" si="0"/>
        <v/>
      </c>
      <c r="G26" s="203"/>
      <c r="H26" s="204"/>
      <c r="I26" s="205"/>
      <c r="J26" s="151"/>
      <c r="K26" s="102" t="str">
        <f t="shared" si="1"/>
        <v/>
      </c>
      <c r="L26" s="102">
        <f t="shared" si="2"/>
        <v>0</v>
      </c>
    </row>
    <row r="27" spans="2:12" ht="15" customHeight="1">
      <c r="B27" s="103">
        <f>'Renewables Report'!B64</f>
        <v>0</v>
      </c>
      <c r="C27" s="104">
        <f>'Renewables Report'!C64</f>
        <v>0</v>
      </c>
      <c r="D27" s="105">
        <f>SUM('Renewables Report'!E64:M64)</f>
        <v>0</v>
      </c>
      <c r="E27" s="152"/>
      <c r="F27" s="106" t="str">
        <f t="shared" si="0"/>
        <v/>
      </c>
      <c r="G27" s="209"/>
      <c r="H27" s="210"/>
      <c r="I27" s="211"/>
      <c r="J27" s="152"/>
      <c r="K27" s="106" t="str">
        <f t="shared" si="1"/>
        <v/>
      </c>
      <c r="L27" s="106">
        <f t="shared" si="2"/>
        <v>0</v>
      </c>
    </row>
    <row r="28" spans="2:12" ht="15" customHeight="1">
      <c r="B28" s="108" t="s">
        <v>152</v>
      </c>
      <c r="C28" s="108"/>
      <c r="D28" s="110">
        <f>SUM(D7:D27)</f>
        <v>505380</v>
      </c>
      <c r="E28" s="111">
        <f>SUM(E7:E27)</f>
        <v>32808057</v>
      </c>
      <c r="F28" s="111"/>
      <c r="G28" s="111"/>
      <c r="H28" s="111"/>
      <c r="I28" s="111"/>
      <c r="J28" s="111">
        <f>SUM(J7:J27)</f>
        <v>38032951.07</v>
      </c>
      <c r="K28" s="109"/>
      <c r="L28" s="111">
        <f>SUM(L7:L27)</f>
        <v>6860414.5599999987</v>
      </c>
    </row>
    <row r="29" spans="2:12" ht="15" customHeight="1">
      <c r="E29" s="7"/>
      <c r="F29" s="7"/>
      <c r="G29" s="7"/>
      <c r="H29" s="7"/>
      <c r="I29" s="7"/>
      <c r="J29" s="7"/>
      <c r="K29" s="7"/>
      <c r="L29" s="7"/>
    </row>
    <row r="30" spans="2:12" ht="17.25" customHeight="1">
      <c r="B30" s="156" t="s">
        <v>168</v>
      </c>
      <c r="C30" s="121"/>
      <c r="D30" s="6"/>
      <c r="E30" s="10" t="s">
        <v>4</v>
      </c>
      <c r="F30" s="180" t="str">
        <f>F3</f>
        <v>Avista</v>
      </c>
      <c r="G30" s="181"/>
      <c r="H30" s="182"/>
    </row>
    <row r="31" spans="2:12" ht="15" customHeight="1">
      <c r="B31" s="121"/>
      <c r="C31" s="121"/>
      <c r="E31" s="10" t="s">
        <v>13</v>
      </c>
      <c r="F31" s="206">
        <v>2015</v>
      </c>
      <c r="G31" s="207"/>
      <c r="H31" s="208"/>
    </row>
    <row r="32" spans="2:12" ht="15" customHeight="1">
      <c r="B32" s="10"/>
      <c r="C32" s="10"/>
      <c r="D32" s="10"/>
      <c r="E32" s="8"/>
      <c r="H32" s="22"/>
      <c r="I32" s="7"/>
    </row>
    <row r="33" spans="1:12" s="11" customFormat="1">
      <c r="B33" s="10"/>
      <c r="C33" s="10"/>
      <c r="D33" s="10"/>
      <c r="E33" s="23"/>
      <c r="F33" s="23"/>
      <c r="G33" s="23"/>
      <c r="H33" s="23"/>
      <c r="I33" s="23"/>
      <c r="J33" s="23"/>
      <c r="K33" s="23"/>
      <c r="L33" s="23"/>
    </row>
    <row r="34" spans="1:12" ht="36">
      <c r="B34" s="51" t="s">
        <v>35</v>
      </c>
      <c r="C34" s="33" t="s">
        <v>54</v>
      </c>
      <c r="D34" s="51" t="s">
        <v>55</v>
      </c>
      <c r="E34" s="157" t="s">
        <v>194</v>
      </c>
      <c r="F34" s="107" t="s">
        <v>195</v>
      </c>
      <c r="G34" s="107" t="s">
        <v>196</v>
      </c>
    </row>
    <row r="35" spans="1:12" ht="15" customHeight="1">
      <c r="A35" s="7"/>
      <c r="B35" s="95" t="str">
        <f>'Renewables Report'!B72</f>
        <v>Stateline Wind Project</v>
      </c>
      <c r="C35" s="96" t="str">
        <f>'Renewables Report'!C72</f>
        <v>W249</v>
      </c>
      <c r="D35" s="97">
        <f>'Renewables Report'!D72</f>
        <v>2015</v>
      </c>
      <c r="E35" s="97">
        <f>MAX('Renewables Report'!$E72:$M72)</f>
        <v>50000</v>
      </c>
      <c r="F35" s="150">
        <f>E35*14.5</f>
        <v>725000</v>
      </c>
      <c r="G35" s="160">
        <f>IF(E35&gt;0,F35/E35,"")</f>
        <v>14.5</v>
      </c>
    </row>
    <row r="36" spans="1:12" ht="15" customHeight="1">
      <c r="A36" s="7"/>
      <c r="B36" s="98">
        <f>'Renewables Report'!B73</f>
        <v>0</v>
      </c>
      <c r="C36" s="99">
        <f>'Renewables Report'!C73</f>
        <v>0</v>
      </c>
      <c r="D36" s="100">
        <f>'Renewables Report'!D73</f>
        <v>0</v>
      </c>
      <c r="E36" s="100">
        <f>MAX('Renewables Report'!$E73:$M73)</f>
        <v>0</v>
      </c>
      <c r="F36" s="151"/>
      <c r="G36" s="159" t="str">
        <f t="shared" ref="G36:G59" si="3">IF(E36&gt;0,F36/E36,"")</f>
        <v/>
      </c>
    </row>
    <row r="37" spans="1:12" ht="15" customHeight="1">
      <c r="A37" s="7"/>
      <c r="B37" s="98">
        <f>'Renewables Report'!B74</f>
        <v>0</v>
      </c>
      <c r="C37" s="99">
        <f>'Renewables Report'!C74</f>
        <v>0</v>
      </c>
      <c r="D37" s="100">
        <f>'Renewables Report'!D74</f>
        <v>0</v>
      </c>
      <c r="E37" s="100">
        <f>MAX('Renewables Report'!$E74:$M74)</f>
        <v>0</v>
      </c>
      <c r="F37" s="151"/>
      <c r="G37" s="159" t="str">
        <f t="shared" si="3"/>
        <v/>
      </c>
    </row>
    <row r="38" spans="1:12" ht="15" customHeight="1">
      <c r="A38" s="7"/>
      <c r="B38" s="98">
        <f>'Renewables Report'!B75</f>
        <v>0</v>
      </c>
      <c r="C38" s="99">
        <f>'Renewables Report'!C75</f>
        <v>0</v>
      </c>
      <c r="D38" s="100">
        <f>'Renewables Report'!D75</f>
        <v>0</v>
      </c>
      <c r="E38" s="100">
        <f>MAX('Renewables Report'!$E75:$M75)</f>
        <v>0</v>
      </c>
      <c r="F38" s="151"/>
      <c r="G38" s="159" t="str">
        <f t="shared" si="3"/>
        <v/>
      </c>
    </row>
    <row r="39" spans="1:12" ht="15" customHeight="1">
      <c r="A39" s="7"/>
      <c r="B39" s="98">
        <f>'Renewables Report'!B76</f>
        <v>0</v>
      </c>
      <c r="C39" s="99">
        <f>'Renewables Report'!C76</f>
        <v>0</v>
      </c>
      <c r="D39" s="100">
        <f>'Renewables Report'!D76</f>
        <v>0</v>
      </c>
      <c r="E39" s="100">
        <f>MAX('Renewables Report'!$E76:$M76)</f>
        <v>0</v>
      </c>
      <c r="F39" s="151"/>
      <c r="G39" s="159" t="str">
        <f t="shared" si="3"/>
        <v/>
      </c>
    </row>
    <row r="40" spans="1:12" ht="15" customHeight="1">
      <c r="A40" s="7"/>
      <c r="B40" s="98">
        <f>'Renewables Report'!B77</f>
        <v>0</v>
      </c>
      <c r="C40" s="99">
        <f>'Renewables Report'!C77</f>
        <v>0</v>
      </c>
      <c r="D40" s="100">
        <f>'Renewables Report'!D77</f>
        <v>0</v>
      </c>
      <c r="E40" s="100">
        <f>MAX('Renewables Report'!$E77:$M77)</f>
        <v>0</v>
      </c>
      <c r="F40" s="151"/>
      <c r="G40" s="159" t="str">
        <f t="shared" si="3"/>
        <v/>
      </c>
    </row>
    <row r="41" spans="1:12" ht="15" customHeight="1">
      <c r="A41" s="7"/>
      <c r="B41" s="98">
        <f>'Renewables Report'!B78</f>
        <v>0</v>
      </c>
      <c r="C41" s="99">
        <f>'Renewables Report'!C78</f>
        <v>0</v>
      </c>
      <c r="D41" s="100">
        <f>'Renewables Report'!D78</f>
        <v>0</v>
      </c>
      <c r="E41" s="100">
        <f>MAX('Renewables Report'!$E78:$M78)</f>
        <v>0</v>
      </c>
      <c r="F41" s="151"/>
      <c r="G41" s="159" t="str">
        <f t="shared" si="3"/>
        <v/>
      </c>
    </row>
    <row r="42" spans="1:12" ht="15" customHeight="1">
      <c r="B42" s="98">
        <f>'Renewables Report'!B79</f>
        <v>0</v>
      </c>
      <c r="C42" s="99">
        <f>'Renewables Report'!C79</f>
        <v>0</v>
      </c>
      <c r="D42" s="100">
        <f>'Renewables Report'!D79</f>
        <v>0</v>
      </c>
      <c r="E42" s="100">
        <f>MAX('Renewables Report'!$E79:$M79)</f>
        <v>0</v>
      </c>
      <c r="F42" s="151"/>
      <c r="G42" s="159" t="str">
        <f t="shared" si="3"/>
        <v/>
      </c>
    </row>
    <row r="43" spans="1:12" ht="15" customHeight="1">
      <c r="B43" s="98">
        <f>'Renewables Report'!B80</f>
        <v>0</v>
      </c>
      <c r="C43" s="99">
        <f>'Renewables Report'!C80</f>
        <v>0</v>
      </c>
      <c r="D43" s="100">
        <f>'Renewables Report'!D80</f>
        <v>0</v>
      </c>
      <c r="E43" s="100">
        <f>MAX('Renewables Report'!$E80:$M80)</f>
        <v>0</v>
      </c>
      <c r="F43" s="151"/>
      <c r="G43" s="159" t="str">
        <f t="shared" si="3"/>
        <v/>
      </c>
    </row>
    <row r="44" spans="1:12" ht="15" customHeight="1">
      <c r="B44" s="98">
        <f>'Renewables Report'!B81</f>
        <v>0</v>
      </c>
      <c r="C44" s="99">
        <f>'Renewables Report'!C81</f>
        <v>0</v>
      </c>
      <c r="D44" s="100">
        <f>'Renewables Report'!D81</f>
        <v>0</v>
      </c>
      <c r="E44" s="100">
        <f>MAX('Renewables Report'!$E81:$M81)</f>
        <v>0</v>
      </c>
      <c r="F44" s="151"/>
      <c r="G44" s="159" t="str">
        <f t="shared" si="3"/>
        <v/>
      </c>
    </row>
    <row r="45" spans="1:12" ht="15" customHeight="1">
      <c r="B45" s="98">
        <f>'Renewables Report'!B82</f>
        <v>0</v>
      </c>
      <c r="C45" s="99">
        <f>'Renewables Report'!C82</f>
        <v>0</v>
      </c>
      <c r="D45" s="100">
        <f>'Renewables Report'!D82</f>
        <v>0</v>
      </c>
      <c r="E45" s="100">
        <f>MAX('Renewables Report'!$E82:$M82)</f>
        <v>0</v>
      </c>
      <c r="F45" s="151"/>
      <c r="G45" s="159" t="str">
        <f t="shared" si="3"/>
        <v/>
      </c>
    </row>
    <row r="46" spans="1:12" ht="15" customHeight="1">
      <c r="B46" s="98">
        <f>'Renewables Report'!B83</f>
        <v>0</v>
      </c>
      <c r="C46" s="99">
        <f>'Renewables Report'!C83</f>
        <v>0</v>
      </c>
      <c r="D46" s="100">
        <f>'Renewables Report'!D83</f>
        <v>0</v>
      </c>
      <c r="E46" s="100">
        <f>MAX('Renewables Report'!$E83:$M83)</f>
        <v>0</v>
      </c>
      <c r="F46" s="151"/>
      <c r="G46" s="159" t="str">
        <f t="shared" si="3"/>
        <v/>
      </c>
    </row>
    <row r="47" spans="1:12" ht="15" customHeight="1">
      <c r="B47" s="98">
        <f>'Renewables Report'!B84</f>
        <v>0</v>
      </c>
      <c r="C47" s="99">
        <f>'Renewables Report'!C84</f>
        <v>0</v>
      </c>
      <c r="D47" s="100">
        <f>'Renewables Report'!D84</f>
        <v>0</v>
      </c>
      <c r="E47" s="100">
        <f>MAX('Renewables Report'!$E84:$M84)</f>
        <v>0</v>
      </c>
      <c r="F47" s="151"/>
      <c r="G47" s="159" t="str">
        <f t="shared" si="3"/>
        <v/>
      </c>
    </row>
    <row r="48" spans="1:12" ht="15" customHeight="1">
      <c r="B48" s="98">
        <f>'Renewables Report'!B85</f>
        <v>0</v>
      </c>
      <c r="C48" s="99">
        <f>'Renewables Report'!C85</f>
        <v>0</v>
      </c>
      <c r="D48" s="100">
        <f>'Renewables Report'!D85</f>
        <v>0</v>
      </c>
      <c r="E48" s="100">
        <f>MAX('Renewables Report'!$E85:$M85)</f>
        <v>0</v>
      </c>
      <c r="F48" s="151"/>
      <c r="G48" s="159" t="str">
        <f t="shared" si="3"/>
        <v/>
      </c>
    </row>
    <row r="49" spans="2:12" ht="15" customHeight="1">
      <c r="B49" s="98">
        <f>'Renewables Report'!B86</f>
        <v>0</v>
      </c>
      <c r="C49" s="99">
        <f>'Renewables Report'!C86</f>
        <v>0</v>
      </c>
      <c r="D49" s="100">
        <f>'Renewables Report'!D86</f>
        <v>0</v>
      </c>
      <c r="E49" s="100">
        <f>MAX('Renewables Report'!$E86:$M86)</f>
        <v>0</v>
      </c>
      <c r="F49" s="151"/>
      <c r="G49" s="159" t="str">
        <f t="shared" si="3"/>
        <v/>
      </c>
    </row>
    <row r="50" spans="2:12" ht="15" customHeight="1">
      <c r="B50" s="98">
        <f>'Renewables Report'!B87</f>
        <v>0</v>
      </c>
      <c r="C50" s="99">
        <f>'Renewables Report'!C87</f>
        <v>0</v>
      </c>
      <c r="D50" s="100">
        <f>'Renewables Report'!D87</f>
        <v>0</v>
      </c>
      <c r="E50" s="100">
        <f>MAX('Renewables Report'!$E87:$M87)</f>
        <v>0</v>
      </c>
      <c r="F50" s="151"/>
      <c r="G50" s="159" t="str">
        <f t="shared" si="3"/>
        <v/>
      </c>
    </row>
    <row r="51" spans="2:12" ht="15" customHeight="1">
      <c r="B51" s="98">
        <f>'Renewables Report'!B88</f>
        <v>0</v>
      </c>
      <c r="C51" s="99">
        <f>'Renewables Report'!C88</f>
        <v>0</v>
      </c>
      <c r="D51" s="100">
        <f>'Renewables Report'!D88</f>
        <v>0</v>
      </c>
      <c r="E51" s="100">
        <f>MAX('Renewables Report'!$E88:$M88)</f>
        <v>0</v>
      </c>
      <c r="F51" s="151"/>
      <c r="G51" s="159" t="str">
        <f t="shared" si="3"/>
        <v/>
      </c>
    </row>
    <row r="52" spans="2:12" ht="15" customHeight="1">
      <c r="B52" s="98">
        <f>'Renewables Report'!B89</f>
        <v>0</v>
      </c>
      <c r="C52" s="99">
        <f>'Renewables Report'!C89</f>
        <v>0</v>
      </c>
      <c r="D52" s="100">
        <f>'Renewables Report'!D89</f>
        <v>0</v>
      </c>
      <c r="E52" s="100">
        <f>MAX('Renewables Report'!$E89:$M89)</f>
        <v>0</v>
      </c>
      <c r="F52" s="151"/>
      <c r="G52" s="159" t="str">
        <f t="shared" si="3"/>
        <v/>
      </c>
    </row>
    <row r="53" spans="2:12" ht="15" customHeight="1">
      <c r="B53" s="98">
        <f>'Renewables Report'!B90</f>
        <v>0</v>
      </c>
      <c r="C53" s="99">
        <f>'Renewables Report'!C90</f>
        <v>0</v>
      </c>
      <c r="D53" s="100">
        <f>'Renewables Report'!D90</f>
        <v>0</v>
      </c>
      <c r="E53" s="100">
        <f>MAX('Renewables Report'!$E90:$M90)</f>
        <v>0</v>
      </c>
      <c r="F53" s="151"/>
      <c r="G53" s="159" t="str">
        <f t="shared" si="3"/>
        <v/>
      </c>
    </row>
    <row r="54" spans="2:12" ht="15" customHeight="1">
      <c r="B54" s="98">
        <f>'Renewables Report'!B91</f>
        <v>0</v>
      </c>
      <c r="C54" s="99">
        <f>'Renewables Report'!C91</f>
        <v>0</v>
      </c>
      <c r="D54" s="100">
        <f>'Renewables Report'!D91</f>
        <v>0</v>
      </c>
      <c r="E54" s="100">
        <f>MAX('Renewables Report'!$E91:$M91)</f>
        <v>0</v>
      </c>
      <c r="F54" s="151"/>
      <c r="G54" s="159" t="str">
        <f t="shared" si="3"/>
        <v/>
      </c>
    </row>
    <row r="55" spans="2:12" ht="15" customHeight="1">
      <c r="B55" s="98">
        <f>'Renewables Report'!B92</f>
        <v>0</v>
      </c>
      <c r="C55" s="99">
        <f>'Renewables Report'!C92</f>
        <v>0</v>
      </c>
      <c r="D55" s="100">
        <f>'Renewables Report'!D92</f>
        <v>0</v>
      </c>
      <c r="E55" s="100">
        <f>MAX('Renewables Report'!$E92:$M92)</f>
        <v>0</v>
      </c>
      <c r="F55" s="151"/>
      <c r="G55" s="159" t="str">
        <f t="shared" si="3"/>
        <v/>
      </c>
    </row>
    <row r="56" spans="2:12" ht="15" customHeight="1">
      <c r="B56" s="98">
        <f>'Renewables Report'!B93</f>
        <v>0</v>
      </c>
      <c r="C56" s="99">
        <f>'Renewables Report'!C93</f>
        <v>0</v>
      </c>
      <c r="D56" s="100">
        <f>'Renewables Report'!D93</f>
        <v>0</v>
      </c>
      <c r="E56" s="100">
        <f>MAX('Renewables Report'!$E93:$M93)</f>
        <v>0</v>
      </c>
      <c r="F56" s="151"/>
      <c r="G56" s="159" t="str">
        <f t="shared" si="3"/>
        <v/>
      </c>
    </row>
    <row r="57" spans="2:12" ht="15" customHeight="1">
      <c r="B57" s="98">
        <f>'Renewables Report'!B94</f>
        <v>0</v>
      </c>
      <c r="C57" s="99">
        <f>'Renewables Report'!C94</f>
        <v>0</v>
      </c>
      <c r="D57" s="100">
        <f>'Renewables Report'!D94</f>
        <v>0</v>
      </c>
      <c r="E57" s="100">
        <f>MAX('Renewables Report'!$E94:$M94)</f>
        <v>0</v>
      </c>
      <c r="F57" s="151"/>
      <c r="G57" s="159" t="str">
        <f t="shared" si="3"/>
        <v/>
      </c>
    </row>
    <row r="58" spans="2:12" ht="15" customHeight="1">
      <c r="B58" s="98">
        <f>'Renewables Report'!B95</f>
        <v>0</v>
      </c>
      <c r="C58" s="99">
        <f>'Renewables Report'!C95</f>
        <v>0</v>
      </c>
      <c r="D58" s="100">
        <f>'Renewables Report'!D95</f>
        <v>0</v>
      </c>
      <c r="E58" s="100">
        <f>MAX('Renewables Report'!$E95:$M95)</f>
        <v>0</v>
      </c>
      <c r="F58" s="151"/>
      <c r="G58" s="159" t="str">
        <f t="shared" si="3"/>
        <v/>
      </c>
    </row>
    <row r="59" spans="2:12" ht="15" customHeight="1">
      <c r="B59" s="103">
        <f>'Renewables Report'!B96</f>
        <v>0</v>
      </c>
      <c r="C59" s="104">
        <f>'Renewables Report'!C96</f>
        <v>0</v>
      </c>
      <c r="D59" s="105">
        <f>'Renewables Report'!D96</f>
        <v>0</v>
      </c>
      <c r="E59" s="105">
        <f>MAX('Renewables Report'!$E96:$M96)</f>
        <v>0</v>
      </c>
      <c r="F59" s="153"/>
      <c r="G59" s="161" t="str">
        <f t="shared" si="3"/>
        <v/>
      </c>
    </row>
    <row r="60" spans="2:12" ht="15" customHeight="1">
      <c r="B60" s="108" t="s">
        <v>6</v>
      </c>
      <c r="C60" s="113"/>
      <c r="D60" s="113"/>
      <c r="E60" s="158"/>
      <c r="F60" s="111">
        <f>SUM(F35:F59)</f>
        <v>725000</v>
      </c>
      <c r="G60" s="158"/>
    </row>
    <row r="61" spans="2:12" ht="15" customHeight="1">
      <c r="B61" s="11"/>
      <c r="C61" s="11"/>
      <c r="D61" s="11"/>
      <c r="E61" s="10"/>
    </row>
    <row r="62" spans="2:12" ht="15" customHeight="1">
      <c r="E62" s="10"/>
    </row>
    <row r="63" spans="2:12" ht="15" customHeight="1">
      <c r="B63" s="11" t="s">
        <v>165</v>
      </c>
      <c r="C63" s="11"/>
      <c r="D63" s="11"/>
      <c r="E63" s="10"/>
      <c r="F63" s="89"/>
    </row>
    <row r="64" spans="2:12" ht="15" customHeight="1">
      <c r="B64" s="88"/>
      <c r="C64" s="88"/>
      <c r="D64" s="88"/>
      <c r="E64" s="88"/>
      <c r="F64" s="88"/>
      <c r="G64" s="88"/>
      <c r="H64" s="88"/>
      <c r="I64" s="88"/>
      <c r="J64" s="88"/>
      <c r="K64" s="88"/>
      <c r="L64" s="88"/>
    </row>
    <row r="65" spans="2:12" ht="15" customHeight="1">
      <c r="B65" s="88"/>
      <c r="C65" s="88"/>
      <c r="D65" s="88"/>
      <c r="E65" s="88"/>
      <c r="F65" s="88"/>
      <c r="G65" s="88"/>
      <c r="H65" s="88"/>
      <c r="I65" s="88"/>
      <c r="J65" s="88"/>
      <c r="K65" s="88"/>
      <c r="L65" s="88"/>
    </row>
    <row r="66" spans="2:12" s="7" customFormat="1" ht="15" customHeight="1">
      <c r="B66" s="88"/>
      <c r="C66" s="88"/>
      <c r="D66" s="88"/>
      <c r="E66" s="88"/>
      <c r="F66" s="88"/>
      <c r="G66" s="88"/>
      <c r="H66" s="88"/>
      <c r="I66" s="88"/>
      <c r="J66" s="88"/>
      <c r="K66" s="88"/>
      <c r="L66" s="88"/>
    </row>
    <row r="67" spans="2:12" s="7" customFormat="1" ht="15" customHeight="1">
      <c r="B67" s="88"/>
      <c r="C67" s="88"/>
      <c r="D67" s="88"/>
      <c r="E67" s="88"/>
      <c r="F67" s="88"/>
      <c r="G67" s="88"/>
      <c r="H67" s="88"/>
      <c r="I67" s="88"/>
      <c r="J67" s="88"/>
      <c r="K67" s="88"/>
      <c r="L67" s="88"/>
    </row>
    <row r="68" spans="2:12" s="7" customFormat="1">
      <c r="B68" s="88"/>
      <c r="C68" s="88"/>
      <c r="D68" s="88"/>
      <c r="E68" s="88"/>
      <c r="F68" s="88"/>
      <c r="G68" s="88"/>
      <c r="H68" s="88"/>
      <c r="I68" s="88"/>
      <c r="J68" s="88"/>
      <c r="K68" s="88"/>
      <c r="L68" s="88"/>
    </row>
    <row r="69" spans="2:12" s="7" customFormat="1">
      <c r="B69" s="88"/>
      <c r="C69" s="88"/>
      <c r="D69" s="88"/>
      <c r="E69" s="88"/>
      <c r="F69" s="88"/>
      <c r="G69" s="88"/>
      <c r="H69" s="88"/>
      <c r="I69" s="88"/>
      <c r="J69" s="88"/>
      <c r="K69" s="88"/>
      <c r="L69" s="88"/>
    </row>
    <row r="70" spans="2:12" s="7" customFormat="1">
      <c r="B70" s="88"/>
      <c r="C70" s="88"/>
      <c r="D70" s="88"/>
      <c r="E70" s="88"/>
      <c r="F70" s="88"/>
      <c r="G70" s="88"/>
      <c r="H70" s="88"/>
      <c r="I70" s="88"/>
      <c r="J70" s="88"/>
      <c r="K70" s="88"/>
      <c r="L70" s="88"/>
    </row>
    <row r="71" spans="2:12">
      <c r="B71" s="88"/>
      <c r="C71" s="88"/>
      <c r="D71" s="88"/>
      <c r="E71" s="88"/>
      <c r="F71" s="88"/>
      <c r="G71" s="88"/>
      <c r="H71" s="88"/>
      <c r="I71" s="88"/>
      <c r="J71" s="88"/>
      <c r="K71" s="88"/>
      <c r="L71" s="88"/>
    </row>
    <row r="72" spans="2:12">
      <c r="B72" s="88"/>
      <c r="C72" s="88"/>
      <c r="D72" s="88"/>
      <c r="E72" s="88"/>
      <c r="F72" s="88"/>
      <c r="G72" s="88"/>
      <c r="H72" s="88"/>
      <c r="I72" s="88"/>
      <c r="J72" s="88"/>
      <c r="K72" s="88"/>
      <c r="L72" s="88"/>
    </row>
    <row r="73" spans="2:12">
      <c r="B73" s="88"/>
      <c r="C73" s="88"/>
      <c r="D73" s="88"/>
      <c r="E73" s="88"/>
      <c r="F73" s="88"/>
      <c r="G73" s="88"/>
      <c r="H73" s="88"/>
      <c r="I73" s="88"/>
      <c r="J73" s="88"/>
      <c r="K73" s="88"/>
      <c r="L73" s="88"/>
    </row>
    <row r="74" spans="2:12">
      <c r="B74" s="88"/>
      <c r="C74" s="88"/>
      <c r="D74" s="88"/>
      <c r="E74" s="88"/>
      <c r="F74" s="88"/>
      <c r="G74" s="88"/>
      <c r="H74" s="88"/>
      <c r="I74" s="88"/>
      <c r="J74" s="88"/>
      <c r="K74" s="88"/>
      <c r="L74" s="88"/>
    </row>
    <row r="75" spans="2:12">
      <c r="B75" s="88"/>
      <c r="C75" s="88"/>
      <c r="D75" s="88"/>
      <c r="E75" s="88"/>
      <c r="F75" s="88"/>
      <c r="G75" s="88"/>
      <c r="H75" s="88"/>
      <c r="I75" s="88"/>
      <c r="J75" s="88"/>
      <c r="K75" s="88"/>
      <c r="L75" s="88"/>
    </row>
    <row r="76" spans="2:12">
      <c r="B76" s="88"/>
      <c r="C76" s="88"/>
      <c r="D76" s="88"/>
      <c r="E76" s="88"/>
      <c r="F76" s="88"/>
      <c r="G76" s="88"/>
      <c r="H76" s="88"/>
      <c r="I76" s="88"/>
      <c r="J76" s="88"/>
      <c r="K76" s="88"/>
      <c r="L76" s="88"/>
    </row>
    <row r="77" spans="2:12">
      <c r="B77" s="88"/>
      <c r="C77" s="88"/>
      <c r="D77" s="88"/>
      <c r="E77" s="88"/>
      <c r="F77" s="88"/>
      <c r="G77" s="88"/>
      <c r="H77" s="88"/>
      <c r="I77" s="88"/>
      <c r="J77" s="88"/>
      <c r="K77" s="88"/>
      <c r="L77" s="88"/>
    </row>
  </sheetData>
  <mergeCells count="26">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 ref="G10:I10"/>
    <mergeCell ref="G11:I11"/>
    <mergeCell ref="G12:I12"/>
    <mergeCell ref="G13:I13"/>
    <mergeCell ref="G14:I14"/>
    <mergeCell ref="G15:I15"/>
    <mergeCell ref="G16:I16"/>
    <mergeCell ref="G17:I17"/>
    <mergeCell ref="G18:I18"/>
    <mergeCell ref="G19:I19"/>
  </mergeCells>
  <pageMargins left="0.7" right="0.7" top="0.75" bottom="0.75" header="0.3" footer="0.3"/>
  <pageSetup scale="79" fitToHeight="0" orientation="landscape" r:id="rId1"/>
  <rowBreaks count="1" manualBreakCount="1">
    <brk id="28" min="1" max="11" man="1"/>
  </rowBreaks>
  <drawing r:id="rId2"/>
</worksheet>
</file>

<file path=xl/worksheets/sheet6.xml><?xml version="1.0" encoding="utf-8"?>
<worksheet xmlns="http://schemas.openxmlformats.org/spreadsheetml/2006/main" xmlns:r="http://schemas.openxmlformats.org/officeDocument/2006/relationships">
  <dimension ref="A1:CE2"/>
  <sheetViews>
    <sheetView workbookViewId="0">
      <selection activeCell="A2" sqref="A2"/>
    </sheetView>
  </sheetViews>
  <sheetFormatPr defaultRowHeight="15"/>
  <cols>
    <col min="1" max="1" width="36.140625" bestFit="1" customWidth="1"/>
  </cols>
  <sheetData>
    <row r="1" spans="1:83">
      <c r="B1" t="s">
        <v>126</v>
      </c>
      <c r="C1" t="s">
        <v>127</v>
      </c>
      <c r="D1" t="s">
        <v>128</v>
      </c>
      <c r="E1" t="s">
        <v>129</v>
      </c>
      <c r="F1" t="s">
        <v>130</v>
      </c>
      <c r="G1" t="s">
        <v>131</v>
      </c>
      <c r="H1" t="s">
        <v>132</v>
      </c>
      <c r="I1" t="s">
        <v>133</v>
      </c>
      <c r="J1" t="s">
        <v>134</v>
      </c>
      <c r="K1" t="s">
        <v>135</v>
      </c>
      <c r="L1" t="s">
        <v>171</v>
      </c>
      <c r="M1" t="s">
        <v>172</v>
      </c>
      <c r="N1" t="s">
        <v>136</v>
      </c>
      <c r="O1" t="s">
        <v>137</v>
      </c>
      <c r="P1" t="s">
        <v>138</v>
      </c>
      <c r="Q1" t="s">
        <v>139</v>
      </c>
      <c r="R1" t="s">
        <v>140</v>
      </c>
      <c r="S1" t="s">
        <v>141</v>
      </c>
      <c r="T1" t="s">
        <v>142</v>
      </c>
      <c r="U1" t="s">
        <v>143</v>
      </c>
      <c r="V1" t="s">
        <v>144</v>
      </c>
      <c r="W1" t="s">
        <v>145</v>
      </c>
      <c r="X1" t="s">
        <v>68</v>
      </c>
      <c r="Y1" t="s">
        <v>69</v>
      </c>
      <c r="Z1" t="s">
        <v>70</v>
      </c>
      <c r="AA1" t="s">
        <v>77</v>
      </c>
      <c r="AB1" t="s">
        <v>71</v>
      </c>
      <c r="AC1" t="s">
        <v>78</v>
      </c>
      <c r="AD1" t="s">
        <v>72</v>
      </c>
      <c r="AE1" t="s">
        <v>73</v>
      </c>
      <c r="AF1" t="s">
        <v>74</v>
      </c>
      <c r="AG1" t="s">
        <v>79</v>
      </c>
      <c r="AH1" t="s">
        <v>80</v>
      </c>
      <c r="AI1" t="s">
        <v>81</v>
      </c>
      <c r="AJ1" t="s">
        <v>82</v>
      </c>
      <c r="AK1" t="s">
        <v>83</v>
      </c>
      <c r="AL1" t="s">
        <v>84</v>
      </c>
      <c r="AM1" t="s">
        <v>85</v>
      </c>
      <c r="AN1" t="s">
        <v>86</v>
      </c>
      <c r="AO1" t="s">
        <v>87</v>
      </c>
      <c r="AP1" t="s">
        <v>88</v>
      </c>
      <c r="AQ1" t="s">
        <v>173</v>
      </c>
      <c r="AR1" t="s">
        <v>174</v>
      </c>
      <c r="AS1" t="s">
        <v>90</v>
      </c>
      <c r="AT1" t="s">
        <v>175</v>
      </c>
      <c r="AU1" t="s">
        <v>91</v>
      </c>
      <c r="AV1" t="s">
        <v>92</v>
      </c>
      <c r="AW1" t="s">
        <v>93</v>
      </c>
      <c r="AX1" t="s">
        <v>94</v>
      </c>
      <c r="AY1" t="s">
        <v>95</v>
      </c>
      <c r="AZ1" t="s">
        <v>96</v>
      </c>
      <c r="BA1" t="s">
        <v>97</v>
      </c>
      <c r="BB1" t="s">
        <v>98</v>
      </c>
      <c r="BC1" t="s">
        <v>99</v>
      </c>
      <c r="BD1" t="s">
        <v>100</v>
      </c>
      <c r="BE1" t="s">
        <v>177</v>
      </c>
      <c r="BF1" t="s">
        <v>75</v>
      </c>
      <c r="BG1" t="s">
        <v>176</v>
      </c>
      <c r="BH1" t="s">
        <v>76</v>
      </c>
      <c r="BI1" t="s">
        <v>83</v>
      </c>
      <c r="BJ1" t="s">
        <v>84</v>
      </c>
      <c r="BK1" t="s">
        <v>85</v>
      </c>
      <c r="BL1" t="s">
        <v>86</v>
      </c>
      <c r="BM1" t="s">
        <v>87</v>
      </c>
      <c r="BN1" t="s">
        <v>88</v>
      </c>
      <c r="BO1" t="s">
        <v>103</v>
      </c>
      <c r="BP1" t="s">
        <v>104</v>
      </c>
      <c r="BQ1" t="s">
        <v>89</v>
      </c>
      <c r="BR1" t="s">
        <v>90</v>
      </c>
      <c r="BS1" t="s">
        <v>91</v>
      </c>
      <c r="BT1" t="s">
        <v>92</v>
      </c>
      <c r="BU1" t="s">
        <v>93</v>
      </c>
      <c r="BV1" t="s">
        <v>94</v>
      </c>
      <c r="BW1" t="s">
        <v>95</v>
      </c>
      <c r="BX1" t="s">
        <v>96</v>
      </c>
      <c r="BY1" t="s">
        <v>97</v>
      </c>
      <c r="BZ1" t="s">
        <v>98</v>
      </c>
      <c r="CA1" t="s">
        <v>99</v>
      </c>
      <c r="CB1" t="s">
        <v>100</v>
      </c>
      <c r="CC1" t="s">
        <v>75</v>
      </c>
      <c r="CD1" t="s">
        <v>106</v>
      </c>
      <c r="CE1" t="s">
        <v>76</v>
      </c>
    </row>
    <row r="2" spans="1:83">
      <c r="A2" t="str">
        <f>REN_Utility_Name</f>
        <v>Avista</v>
      </c>
      <c r="B2">
        <f>CON_2014_Agriculture_Expend</f>
        <v>0</v>
      </c>
      <c r="C2">
        <f>CON_2014_Agriculture_MWH</f>
        <v>0</v>
      </c>
      <c r="D2">
        <f>CON_2014_Commercial_Expend</f>
        <v>3781678</v>
      </c>
      <c r="E2">
        <f>CON_2014_Commercial_MWH</f>
        <v>16226.326999999999</v>
      </c>
      <c r="F2">
        <f>CON_2014_Distribution_Expend</f>
        <v>0</v>
      </c>
      <c r="G2">
        <f>CON_2014_Distribution_MWH</f>
        <v>885</v>
      </c>
      <c r="H2">
        <f>CON_2014_Expenditures</f>
        <v>11055028</v>
      </c>
      <c r="I2">
        <f>CON_2014_Industrial_Expend</f>
        <v>0</v>
      </c>
      <c r="J2">
        <f>CON_2014_Industrial_MWH</f>
        <v>0</v>
      </c>
      <c r="K2">
        <f>CON_2014_MWH</f>
        <v>40940.457000000002</v>
      </c>
      <c r="L2">
        <f>CON_2014_NEEA_Expend</f>
        <v>1445817</v>
      </c>
      <c r="M2">
        <f>CON_2014_NEEA_MWH</f>
        <v>0</v>
      </c>
      <c r="N2">
        <f>CON_2014_OtherSector1_Expend</f>
        <v>0</v>
      </c>
      <c r="O2">
        <f>CON_2014_OtherSector1_MWH</f>
        <v>0</v>
      </c>
      <c r="P2">
        <f>CON_2014_OtherSector2_Expend</f>
        <v>0</v>
      </c>
      <c r="Q2">
        <f>CON_2014_OtherSector2_MWH</f>
        <v>0</v>
      </c>
      <c r="R2">
        <f>CON_2014_Production_Expend</f>
        <v>0</v>
      </c>
      <c r="S2">
        <f>CON_2014_Production_MWH</f>
        <v>0</v>
      </c>
      <c r="T2">
        <f>CON_2014_Program1_Expend</f>
        <v>1711914</v>
      </c>
      <c r="U2">
        <f>CON_2014_Program2_Expend</f>
        <v>0</v>
      </c>
      <c r="V2">
        <f>CON_2014_Residential_Expend</f>
        <v>4115619</v>
      </c>
      <c r="W2">
        <f>CON_2014_Residential_MWH</f>
        <v>23829.13</v>
      </c>
      <c r="X2" t="str">
        <f>CON_Contact_Name</f>
        <v>Mark Baker, Demand Side Management</v>
      </c>
      <c r="Y2" t="str">
        <f>CON_Email</f>
        <v>mark.baker@avistacorp.com</v>
      </c>
      <c r="Z2" t="str">
        <f>CON_Phone</f>
        <v>(509) 495-4864</v>
      </c>
      <c r="AA2">
        <f>CON_Potential_2014_2023</f>
        <v>394200</v>
      </c>
      <c r="AB2">
        <f>CON_Report_Date</f>
        <v>0</v>
      </c>
      <c r="AC2">
        <f>CON_Target_2014_2015</f>
        <v>79334</v>
      </c>
      <c r="AD2" t="str">
        <f>CON_Utility_Name</f>
        <v>Avista Corp.</v>
      </c>
      <c r="AE2" t="str">
        <f>REN_Contact_Name</f>
        <v>John Lyons, Energy Resources</v>
      </c>
      <c r="AF2" t="str">
        <f>REN_Email</f>
        <v>john.lyons@avistacorp.com</v>
      </c>
      <c r="AG2">
        <f>REN_ERR_ApprenticeLabor</f>
        <v>67058.2</v>
      </c>
      <c r="AH2">
        <f>REN_ERR_Biodiesel</f>
        <v>0</v>
      </c>
      <c r="AI2">
        <f>REN_ERR_Biomass</f>
        <v>0</v>
      </c>
      <c r="AJ2">
        <f>REN_ERR_Geothermal</f>
        <v>0</v>
      </c>
      <c r="AK2">
        <f>REN_ERR_LandfillGas</f>
        <v>0</v>
      </c>
      <c r="AL2">
        <f>REN_ERR_SewageGas</f>
        <v>0</v>
      </c>
      <c r="AM2">
        <f>REN_ERR_Solar</f>
        <v>0</v>
      </c>
      <c r="AN2">
        <f>REN_ERR_Water</f>
        <v>170089</v>
      </c>
      <c r="AO2">
        <f>REN_ERR_Wind</f>
        <v>335291</v>
      </c>
      <c r="AP2">
        <f>REN_ERR_WOT</f>
        <v>0</v>
      </c>
      <c r="AQ2">
        <f>REN_Expenditure_Amount_2015</f>
        <v>7585414.5599999987</v>
      </c>
      <c r="AR2">
        <f>REN_Expenditure_Percent_2015</f>
        <v>1.5591408967214318E-2</v>
      </c>
      <c r="AS2">
        <f>REN_Load_2013</f>
        <v>5678868</v>
      </c>
      <c r="AT2">
        <f>REN_Load_2014</f>
        <v>5685958</v>
      </c>
      <c r="AU2">
        <f>REN_REC_ApprenticeLabor</f>
        <v>0</v>
      </c>
      <c r="AV2">
        <f>REN_REC_Biodiesel</f>
        <v>0</v>
      </c>
      <c r="AW2">
        <f>REN_REC_Biomass</f>
        <v>0</v>
      </c>
      <c r="AX2">
        <f>REN_REC_DistributedGeneration</f>
        <v>0</v>
      </c>
      <c r="AY2">
        <f>REN_REC_Geothermal</f>
        <v>0</v>
      </c>
      <c r="AZ2">
        <f>REN_REC_LandfillGas</f>
        <v>0</v>
      </c>
      <c r="BA2">
        <f>REN_REC_SewageGas</f>
        <v>0</v>
      </c>
      <c r="BB2">
        <f>REN_REC_Solar</f>
        <v>0</v>
      </c>
      <c r="BC2">
        <f>REN_REC_Wind</f>
        <v>50000</v>
      </c>
      <c r="BD2">
        <f>REN_REC_WOT</f>
        <v>0</v>
      </c>
      <c r="BE2">
        <f>REN_RetailRevenueRequirement_2015</f>
        <v>486512449</v>
      </c>
      <c r="BF2">
        <f>REN_Submittal_Date</f>
        <v>42156</v>
      </c>
      <c r="BG2">
        <f>REN_Total_2015</f>
        <v>622438.19999999995</v>
      </c>
      <c r="BH2" t="str">
        <f>REN_Utility_Name</f>
        <v>Avista</v>
      </c>
      <c r="BI2">
        <f>REN_ERR_LandfillGas</f>
        <v>0</v>
      </c>
      <c r="BJ2">
        <f>REN_ERR_SewageGas</f>
        <v>0</v>
      </c>
      <c r="BK2">
        <f>REN_ERR_Solar</f>
        <v>0</v>
      </c>
      <c r="BL2">
        <f>REN_ERR_Water</f>
        <v>170089</v>
      </c>
      <c r="BM2">
        <f>REN_ERR_Wind</f>
        <v>335291</v>
      </c>
      <c r="BN2">
        <f>REN_ERR_WOT</f>
        <v>0</v>
      </c>
      <c r="BO2">
        <f>REN_Expenditure_Amount_2015</f>
        <v>7585414.5599999987</v>
      </c>
      <c r="BP2">
        <f>REN_Expenditure_Percent_2015</f>
        <v>1.5591408967214318E-2</v>
      </c>
      <c r="BQ2">
        <f>REN_Load_2013</f>
        <v>5678868</v>
      </c>
      <c r="BR2">
        <f>REN_Load_2014</f>
        <v>5685958</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50000</v>
      </c>
      <c r="CB2">
        <f>REN_REC_WOT</f>
        <v>0</v>
      </c>
      <c r="CC2">
        <f>REN_Submittal_Date</f>
        <v>42156</v>
      </c>
      <c r="CD2">
        <f>REN_Total_2015</f>
        <v>622438.19999999995</v>
      </c>
      <c r="CE2" t="str">
        <f>REN_Utility_Name</f>
        <v>Avista</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Year xmlns="63979cc8-f6b2-4ee6-8bed-630b6048d169">2015</Year>
    <d599451e10b14aceb47619c4acf6a5e3 xmlns="59db5950-9a61-4c09-b3e2-fe6d472fba04">
      <Terms xmlns="http://schemas.microsoft.com/office/infopath/2007/PartnerControls"/>
    </d599451e10b14aceb47619c4acf6a5e3>
    <TaxCatchAll xmlns="59db5950-9a61-4c09-b3e2-fe6d472fba04"/>
    <BusinessUnit xmlns="63979cc8-f6b2-4ee6-8bed-630b6048d169">Energy Office</BusinessUnit>
    <PublishingExpirationDate xmlns="http://schemas.microsoft.com/sharepoint/v3" xsi:nil="true"/>
    <RoutingRuleDescription xmlns="http://schemas.microsoft.com/sharepoint/v3">eia</RoutingRuleDescription>
    <PublishingStartDate xmlns="http://schemas.microsoft.com/sharepoint/v3" xsi:nil="true"/>
    <Publish xmlns="63979cc8-f6b2-4ee6-8bed-630b6048d169">Yes</Publish>
    <Topic xmlns="63979cc8-f6b2-4ee6-8bed-630b6048d169">Electric Utilities</Topic>
    <Program xmlns="63979cc8-f6b2-4ee6-8bed-630b6048d169">Energy and Technology</Program>
    <Content_x0020_Type xmlns="63979cc8-f6b2-4ee6-8bed-630b6048d169">Form</Content_x0020_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7F82A00B46344287D29A2B5774955F" ma:contentTypeVersion="14" ma:contentTypeDescription="Create a new document." ma:contentTypeScope="" ma:versionID="973bd6561572a3005a6b7ab97f1f6e80">
  <xsd:schema xmlns:xsd="http://www.w3.org/2001/XMLSchema" xmlns:xs="http://www.w3.org/2001/XMLSchema" xmlns:p="http://schemas.microsoft.com/office/2006/metadata/properties" xmlns:ns1="http://schemas.microsoft.com/sharepoint/v3" xmlns:ns2="63979cc8-f6b2-4ee6-8bed-630b6048d169" xmlns:ns4="59db5950-9a61-4c09-b3e2-fe6d472fba04" targetNamespace="http://schemas.microsoft.com/office/2006/metadata/properties" ma:root="true" ma:fieldsID="0c769d9437d03691a8a8f58a18ba4cc8" ns1:_="" ns2:_="" ns4:_="">
    <xsd:import namespace="http://schemas.microsoft.com/sharepoint/v3"/>
    <xsd:import namespace="63979cc8-f6b2-4ee6-8bed-630b6048d169"/>
    <xsd:import namespace="59db5950-9a61-4c09-b3e2-fe6d472fba04"/>
    <xsd:element name="properties">
      <xsd:complexType>
        <xsd:sequence>
          <xsd:element name="documentManagement">
            <xsd:complexType>
              <xsd:all>
                <xsd:element ref="ns1:PublishingStartDate" minOccurs="0"/>
                <xsd:element ref="ns1:PublishingExpirationDate" minOccurs="0"/>
                <xsd:element ref="ns2:Program"/>
                <xsd:element ref="ns2:Content_x0020_Type"/>
                <xsd:element ref="ns1:RoutingRuleDescription"/>
                <xsd:element ref="ns4:d599451e10b14aceb47619c4acf6a5e3" minOccurs="0"/>
                <xsd:element ref="ns4:TaxCatchAll" minOccurs="0"/>
                <xsd:element ref="ns2:BusinessUnit" minOccurs="0"/>
                <xsd:element ref="ns2:Year" minOccurs="0"/>
                <xsd:element ref="ns2:Publish" minOccurs="0"/>
                <xsd:element ref="ns2:Topi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element name="RoutingRuleDescription" ma:index="12" ma:displayName="Description" ma:internalName="RoutingRule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3979cc8-f6b2-4ee6-8bed-630b6048d169" elementFormDefault="qualified">
    <xsd:import namespace="http://schemas.microsoft.com/office/2006/documentManagement/types"/>
    <xsd:import namespace="http://schemas.microsoft.com/office/infopath/2007/PartnerControls"/>
    <xsd:element name="Program" ma:index="10" ma:displayName="Theme" ma:format="Dropdown" ma:internalName="Program">
      <xsd:simpleType>
        <xsd:restriction base="dms:Choice">
          <xsd:enumeration value="About Commerce"/>
          <xsd:enumeration value="Business and Economic Development"/>
          <xsd:enumeration value="Community Services and Facilities"/>
          <xsd:enumeration value="Crime Victims and Public Safety"/>
          <xsd:enumeration value="Energy and Technology"/>
          <xsd:enumeration value="Foreclosure Fairness Program"/>
          <xsd:enumeration value="Growth Management"/>
          <xsd:enumeration value="Homeless Programs"/>
          <xsd:enumeration value="Housing and Homeless"/>
          <xsd:enumeration value="Infrastructure and Community Development"/>
          <xsd:enumeration value="Open Grants and Loan Applications"/>
          <xsd:enumeration value="Research Services"/>
          <xsd:enumeration value="Services and Assistance"/>
          <xsd:enumeration value="Reports and Publications"/>
        </xsd:restriction>
      </xsd:simpleType>
    </xsd:element>
    <xsd:element name="Content_x0020_Type" ma:index="11" ma:displayName="Content Type" ma:format="Dropdown" ma:internalName="Content_x0020_Type">
      <xsd:simpleType>
        <xsd:restriction base="dms:Choice">
          <xsd:enumeration value="Grant Application"/>
          <xsd:enumeration value="Loan Application"/>
          <xsd:enumeration value="Report"/>
          <xsd:enumeration value="Form"/>
          <xsd:enumeration value="Training Material"/>
          <xsd:enumeration value="Policy"/>
          <xsd:enumeration value="Presentation"/>
          <xsd:enumeration value="Award Lists"/>
          <xsd:enumeration value="Contract"/>
          <xsd:enumeration value="Project Information"/>
          <xsd:enumeration value="Data"/>
          <xsd:enumeration value="Commerce Solicitation"/>
          <xsd:enumeration value="Loan Application"/>
          <xsd:enumeration value="Public Input Process"/>
          <xsd:enumeration value="Fact Sheet"/>
          <xsd:enumeration value="Financial"/>
        </xsd:restriction>
      </xsd:simpleType>
    </xsd:element>
    <xsd:element name="BusinessUnit" ma:index="17" nillable="true" ma:displayName="Business Unit" ma:internalName="BusinessUnit">
      <xsd:simpleType>
        <xsd:restriction base="dms:Text">
          <xsd:maxLength value="55"/>
        </xsd:restriction>
      </xsd:simpleType>
    </xsd:element>
    <xsd:element name="Year" ma:index="18" nillable="true" ma:displayName="Year" ma:format="Dropdown"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restriction>
      </xsd:simpleType>
    </xsd:element>
    <xsd:element name="Publish" ma:index="19" nillable="true" ma:displayName="Publish" ma:format="RadioButtons" ma:internalName="Publish">
      <xsd:simpleType>
        <xsd:restriction base="dms:Choice">
          <xsd:enumeration value="Yes"/>
          <xsd:enumeration value="No"/>
        </xsd:restriction>
      </xsd:simpleType>
    </xsd:element>
    <xsd:element name="Topic" ma:index="20" nillable="true" ma:displayName="Topic" ma:format="Dropdown" ma:internalName="Topic">
      <xsd:simpleType>
        <xsd:restriction base="dms:Choice">
          <xsd:enumeration value="Affordable Housing"/>
          <xsd:enumeration value="Agriculture"/>
          <xsd:enumeration value="Annexation"/>
          <xsd:enumeration value="Annual Report"/>
          <xsd:enumeration value="Best Available Science"/>
          <xsd:enumeration value="Bicycling, Walking"/>
          <xsd:enumeration value="Buildable Lands"/>
          <xsd:enumeration value="Capital Facilities"/>
          <xsd:enumeration value="Capital Facilities Template"/>
          <xsd:enumeration value="Citizen Participation"/>
          <xsd:enumeration value="Clearing, Grading"/>
          <xsd:enumeration value="Coastal Erosion"/>
          <xsd:enumeration value="Comprehensive Plans"/>
          <xsd:enumeration value="Concurrency"/>
          <xsd:enumeration value="Critical Areas"/>
          <xsd:enumeration value="Development Regulations"/>
          <xsd:enumeration value="Economic Development"/>
          <xsd:enumeration value="ESA Listings"/>
          <xsd:enumeration value="ESHB 1724"/>
          <xsd:enumeration value="GMA"/>
          <xsd:enumeration value="GMA"/>
          <xsd:enumeration value="GMA RCWs"/>
          <xsd:enumeration value="Governor's Smart Communities Awards Program Brochure"/>
          <xsd:enumeration value="Growth Management 15-Year - An Overview, Brochure"/>
          <xsd:enumeration value="Growth Management 15-Year Report"/>
          <xsd:enumeration value="Growth Management Hearings Boards"/>
          <xsd:enumeration value="Growth Management Services"/>
          <xsd:enumeration value="Historic Preservation"/>
          <xsd:enumeration value="Housing"/>
          <xsd:enumeration value="Impact Fees"/>
          <xsd:enumeration value="Interagency Contacts"/>
          <xsd:enumeration value="Land Use Element"/>
          <xsd:enumeration value="Medical Marijuana"/>
          <xsd:enumeration value="Military Installation Compatibility"/>
          <xsd:enumeration value="Military Installations"/>
          <xsd:enumeration value="Minimum Guidelines"/>
          <xsd:enumeration value="Model Codes"/>
          <xsd:enumeration value="Natural Hazard Reduction"/>
          <xsd:enumeration value="Parks, Recreation, and Open Space"/>
          <xsd:enumeration value="Permits"/>
          <xsd:enumeration value="Planner's Update Bulletin"/>
          <xsd:enumeration value="Planner's Update Newsletter"/>
          <xsd:enumeration value="Population Forecasting"/>
          <xsd:enumeration value="Procedural Criteria"/>
          <xsd:enumeration value="Project Consistency"/>
          <xsd:enumeration value="Property Rights"/>
          <xsd:enumeration value="Quality of Life"/>
          <xsd:enumeration value="RCWs"/>
          <xsd:enumeration value="Resource Lands"/>
          <xsd:enumeration value="Rural"/>
          <xsd:enumeration value="Rural Lands"/>
          <xsd:enumeration value="SEPA/GMA"/>
          <xsd:enumeration value="Shoreline Management"/>
          <xsd:enumeration value="Short Course"/>
          <xsd:enumeration value="Success Stories"/>
          <xsd:enumeration value="Transportation"/>
          <xsd:enumeration value="Update Process"/>
          <xsd:enumeration value="Update, GMA"/>
          <xsd:enumeration value="Urban"/>
          <xsd:enumeration value="Urban Growth Areas"/>
          <xsd:enumeration value="WAC"/>
          <xsd:enumeration value="Energy"/>
          <xsd:enumeration value="Energy strategy"/>
          <xsd:enumeration value="Energy policy"/>
          <xsd:enumeration value="Electric Utilities"/>
          <xsd:enumeration value="Building Codes"/>
          <xsd:enumeration value="Appliances"/>
          <xsd:enumeration value="SEP Grants and Loans"/>
          <xsd:enumeration value="Bioenergy"/>
          <xsd:enumeration value="Petroleum and Natural Gas"/>
          <xsd:enumeration value="Renewable Resources"/>
          <xsd:enumeration value="Transportation"/>
          <xsd:enumeration value="Energy Emergencies"/>
          <xsd:enumeration value="Energy Data"/>
          <xsd:enumeration value="60 day notice"/>
          <xsd:enumeration value="Appellate Decisions"/>
          <xsd:enumeration value="Biodiversity"/>
          <xsd:enumeration value="Checklist"/>
          <xsd:enumeration value="Citizen Participation"/>
          <xsd:enumeration value="Climate Change"/>
          <xsd:enumeration value="Energy"/>
          <xsd:enumeration value="Energy Aware"/>
          <xsd:enumeration value="Evergreen Communities"/>
          <xsd:enumeration value="GMA Effectiveness"/>
          <xsd:enumeration value="GMA Publications"/>
          <xsd:enumeration value="GMA RCW Update"/>
          <xsd:enumeration value="GMA Update Map"/>
          <xsd:enumeration value="Land Use Study Commission"/>
          <xsd:enumeration value="Mineral Lands"/>
          <xsd:enumeration value="Multi-Unit Tax Exemption"/>
          <xsd:enumeration value="Multi-Unit Tax Form"/>
          <xsd:enumeration value="NSP"/>
          <xsd:enumeration value="Planner Forums"/>
          <xsd:enumeration value="Property Rights"/>
          <xsd:enumeration value="Guidebook"/>
          <xsd:enumeration value="Parks and Open Space"/>
          <xsd:enumeration value="Periodic Update"/>
          <xsd:enumeration value="GMA Update (update process)"/>
          <xsd:enumeration value="Permitting"/>
          <xsd:enumeration value="Planners Update Newsletter"/>
          <xsd:enumeration value="Regulatory Reform"/>
          <xsd:enumeration value="School Planning"/>
          <xsd:enumeration value="Rural Lands"/>
          <xsd:enumeration value="SEPA"/>
          <xsd:enumeration value="SEPA/GMA"/>
          <xsd:enumeration value="Smart Growth"/>
          <xsd:enumeration value="TDR"/>
          <xsd:enumeration value="UGA"/>
          <xsd:enumeration value="Update"/>
          <xsd:enumeration value="Update Schedule Map"/>
          <xsd:enumeration value="Urban Growth Areas"/>
        </xsd:restriction>
      </xsd:simpleType>
    </xsd:element>
  </xsd:schema>
  <xsd:schema xmlns:xsd="http://www.w3.org/2001/XMLSchema" xmlns:xs="http://www.w3.org/2001/XMLSchema" xmlns:dms="http://schemas.microsoft.com/office/2006/documentManagement/types" xmlns:pc="http://schemas.microsoft.com/office/infopath/2007/PartnerControls" targetNamespace="59db5950-9a61-4c09-b3e2-fe6d472fba04" elementFormDefault="qualified">
    <xsd:import namespace="http://schemas.microsoft.com/office/2006/documentManagement/types"/>
    <xsd:import namespace="http://schemas.microsoft.com/office/infopath/2007/PartnerControls"/>
    <xsd:element name="d599451e10b14aceb47619c4acf6a5e3" ma:index="15" nillable="true" ma:taxonomy="true" ma:internalName="d599451e10b14aceb47619c4acf6a5e3" ma:taxonomyFieldName="Tags" ma:displayName="Tags" ma:default="" ma:fieldId="{d599451e-10b1-4ace-b476-19c4acf6a5e3}" ma:taxonomyMulti="true" ma:sspId="bf6a826f-2cab-45dc-9ffe-fa5cab908faa" ma:termSetId="1ce3ecf8-e5ae-413d-890c-de5413657a20" ma:anchorId="00000000-0000-0000-0000-000000000000" ma:open="false" ma:isKeyword="false">
      <xsd:complexType>
        <xsd:sequence>
          <xsd:element ref="pc:Terms" minOccurs="0" maxOccurs="1"/>
        </xsd:sequence>
      </xsd:complexType>
    </xsd:element>
    <xsd:element name="TaxCatchAll" ma:index="16" nillable="true" ma:displayName="Taxonomy Catch All Column" ma:hidden="true" ma:list="{ae2a0ba3-27c4-4c52-bac5-ed8a80cb3154}" ma:internalName="TaxCatchAll" ma:showField="CatchAllData" ma:web="36660fb1-bd30-4810-8537-b68c6e8405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ma:index="13"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B5134EF7-F04D-4218-953F-7A835D8EE7C1}">
  <ds:schemaRefs>
    <ds:schemaRef ds:uri="http://purl.org/dc/elements/1.1/"/>
    <ds:schemaRef ds:uri="http://schemas.microsoft.com/office/infopath/2007/PartnerControls"/>
    <ds:schemaRef ds:uri="http://schemas.microsoft.com/office/2006/documentManagement/types"/>
    <ds:schemaRef ds:uri="http://schemas.openxmlformats.org/package/2006/metadata/core-properties"/>
    <ds:schemaRef ds:uri="59db5950-9a61-4c09-b3e2-fe6d472fba04"/>
    <ds:schemaRef ds:uri="http://purl.org/dc/dcmitype/"/>
    <ds:schemaRef ds:uri="http://purl.org/dc/terms/"/>
    <ds:schemaRef ds:uri="63979cc8-f6b2-4ee6-8bed-630b6048d169"/>
    <ds:schemaRef ds:uri="http://schemas.microsoft.com/sharepoint/v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EF96C38-3FA3-486F-8EDF-D6400E46E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979cc8-f6b2-4ee6-8bed-630b6048d169"/>
    <ds:schemaRef ds:uri="59db5950-9a61-4c09-b3e2-fe6d472fba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62</vt:i4>
      </vt:variant>
    </vt:vector>
  </HeadingPairs>
  <TitlesOfParts>
    <vt:vector size="68" baseType="lpstr">
      <vt:lpstr>Instructions - 2015</vt:lpstr>
      <vt:lpstr>Instructions - Revise 2013</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CON_Contact_Name</vt:lpstr>
      <vt:lpstr>CON_Email</vt:lpstr>
      <vt:lpstr>CON_Phone</vt:lpstr>
      <vt:lpstr>CON_Potential_2014_2023</vt:lpstr>
      <vt:lpstr>CON_Report_Date</vt:lpstr>
      <vt:lpstr>CON_Target_2014_2015</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Linda Gervais</cp:lastModifiedBy>
  <cp:lastPrinted>2015-05-04T22:21:00Z</cp:lastPrinted>
  <dcterms:created xsi:type="dcterms:W3CDTF">2012-03-20T21:01:26Z</dcterms:created>
  <dcterms:modified xsi:type="dcterms:W3CDTF">2015-05-29T18:23:23Z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0x010100B37F82A00B46344287D29A2B5774955F</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