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150" windowWidth="15030" windowHeight="5895" tabRatio="719" activeTab="2"/>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Report'!$E$34</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Report'!$D$34</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Report'!$E$32</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Report'!$H$34</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Report'!$G$34</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Report'!$H$32</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Report'!$A$1:$J$71</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45621"/>
</workbook>
</file>

<file path=xl/calcChain.xml><?xml version="1.0" encoding="utf-8"?>
<calcChain xmlns="http://schemas.openxmlformats.org/spreadsheetml/2006/main">
  <c r="J6" i="18" l="1"/>
  <c r="H6" i="18"/>
  <c r="D22" i="18" l="1"/>
  <c r="E34" i="18" l="1"/>
  <c r="H34" i="18" l="1"/>
  <c r="N5" i="21" l="1"/>
  <c r="N5" i="20"/>
  <c r="N5" i="18"/>
  <c r="N5" i="16"/>
  <c r="A2" i="19" l="1"/>
  <c r="CF2" i="19"/>
  <c r="CD2" i="19"/>
  <c r="CC2" i="19"/>
  <c r="CB2" i="19"/>
  <c r="BZ2" i="19"/>
  <c r="BY2" i="19"/>
  <c r="BX2" i="19"/>
  <c r="BW2" i="19"/>
  <c r="BV2" i="19"/>
  <c r="BU2" i="19"/>
  <c r="BT2" i="19"/>
  <c r="BS2" i="19"/>
  <c r="BR2" i="19"/>
  <c r="BQ2" i="19"/>
  <c r="BO2" i="19"/>
  <c r="BN2" i="19"/>
  <c r="BM2" i="19"/>
  <c r="BK2" i="19"/>
  <c r="BJ2" i="19"/>
  <c r="BI2" i="19"/>
  <c r="BH2" i="19"/>
  <c r="BG2" i="19"/>
  <c r="BF2" i="19"/>
  <c r="BE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N13" i="16" l="1"/>
  <c r="BP2" i="19" s="1"/>
  <c r="C18" i="16" l="1"/>
  <c r="BL2" i="19" s="1"/>
  <c r="D18" i="16"/>
  <c r="E18" i="16"/>
  <c r="F18" i="16"/>
  <c r="G18" i="16"/>
  <c r="H18" i="16"/>
  <c r="I18" i="16"/>
  <c r="J18" i="16"/>
  <c r="K18" i="16"/>
  <c r="L18" i="16"/>
  <c r="C36" i="18" l="1"/>
  <c r="AD2" i="19" l="1"/>
  <c r="G34" i="18"/>
  <c r="AG2" i="19" s="1"/>
  <c r="H2" i="19"/>
  <c r="D34" i="18"/>
  <c r="K2" i="19" l="1"/>
  <c r="H7" i="18"/>
  <c r="M19" i="16"/>
  <c r="M20" i="16" l="1"/>
  <c r="F98" i="16"/>
  <c r="L19" i="16"/>
  <c r="F66" i="16"/>
  <c r="F36" i="16"/>
  <c r="K19" i="16"/>
  <c r="J19" i="16"/>
  <c r="I19" i="16"/>
  <c r="H19" i="16"/>
  <c r="G19" i="16"/>
  <c r="F19" i="16"/>
  <c r="E19" i="16"/>
  <c r="D19" i="16"/>
  <c r="CA2" i="19" s="1"/>
  <c r="C20" i="16"/>
  <c r="N7" i="16"/>
  <c r="N8" i="16" l="1"/>
  <c r="CE2" i="19" s="1"/>
  <c r="F20" i="16"/>
  <c r="J20" i="16"/>
  <c r="E20" i="16"/>
  <c r="G20" i="16"/>
  <c r="I20" i="16"/>
  <c r="H20" i="16"/>
  <c r="L20" i="16"/>
  <c r="D20" i="16"/>
  <c r="K20" i="16"/>
  <c r="B2" i="19" l="1"/>
</calcChain>
</file>

<file path=xl/sharedStrings.xml><?xml version="1.0" encoding="utf-8"?>
<sst xmlns="http://schemas.openxmlformats.org/spreadsheetml/2006/main" count="352" uniqueCount="257">
  <si>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</si>
  <si>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</si>
  <si>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</si>
  <si>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</si>
  <si>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</si>
  <si>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</si>
  <si>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</si>
  <si>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</si>
  <si>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</si>
  <si>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</si>
  <si>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</si>
  <si>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</si>
  <si>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</si>
  <si>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</si>
  <si>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</si>
  <si>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</si>
  <si>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</si>
  <si>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</si>
  <si>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</si>
  <si>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</si>
  <si>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</si>
  <si>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</si>
  <si>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</si>
  <si>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</si>
  <si>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</si>
  <si>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</si>
  <si>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</si>
  <si>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</si>
  <si>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</si>
  <si>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</si>
  <si>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</si>
  <si>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</si>
  <si>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</si>
  <si>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</si>
  <si>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</si>
  <si>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</si>
  <si>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</si>
  <si>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</si>
  <si>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</si>
  <si>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</si>
  <si>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</si>
  <si>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</si>
  <si>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</si>
  <si>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</si>
  <si>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</si>
  <si>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</si>
  <si>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</si>
  <si>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</si>
  <si>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</si>
  <si>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</si>
  <si>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</si>
  <si>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</si>
  <si>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</si>
  <si>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</si>
  <si>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</si>
  <si>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</si>
  <si>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</si>
  <si>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</si>
  <si>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</si>
  <si>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</si>
  <si>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</si>
  <si>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</si>
  <si>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</si>
  <si>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</si>
  <si>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</si>
  <si>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</si>
  <si>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</si>
  <si>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</si>
  <si>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</si>
  <si>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</si>
  <si>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</si>
  <si>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</si>
  <si>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</si>
  <si>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</si>
  <si>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</si>
  <si>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</si>
  <si>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</si>
  <si>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</si>
  <si>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</si>
  <si>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</si>
  <si>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</si>
  <si>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</si>
  <si>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</si>
  <si>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</si>
  <si>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</si>
  <si>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</si>
  <si>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</si>
  <si>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</si>
  <si>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</si>
  <si>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</si>
  <si>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</si>
  <si>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</si>
  <si>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</si>
  <si>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</si>
  <si>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</si>
  <si>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</si>
  <si>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</si>
  <si>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</si>
  <si>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</si>
  <si>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</si>
  <si>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</si>
  <si>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</si>
  <si>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</si>
  <si>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</si>
  <si>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</si>
  <si>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</si>
  <si>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</si>
  <si>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</si>
  <si>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</si>
  <si>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</si>
  <si>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</si>
  <si>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</si>
  <si>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</si>
  <si>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</si>
  <si>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</si>
  <si>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</si>
  <si>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</si>
  <si>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</si>
  <si>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</si>
  <si>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</si>
  <si>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</si>
  <si>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</si>
  <si>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</si>
  <si>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</si>
  <si>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</si>
  <si>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</si>
  <si>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</si>
  <si>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</si>
  <si>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</si>
  <si>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</si>
  <si>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</si>
  <si>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</si>
  <si>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</si>
  <si>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</si>
  <si>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</si>
  <si>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</si>
  <si>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</si>
  <si>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</si>
  <si>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</si>
  <si>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</si>
  <si>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</si>
  <si>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</si>
  <si>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</si>
  <si>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</si>
  <si>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</si>
  <si>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</si>
  <si>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</si>
  <si>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</si>
  <si>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</si>
  <si>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</si>
  <si>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</si>
  <si>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</si>
  <si>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</si>
  <si>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</si>
  <si>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</si>
  <si>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</si>
  <si>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</si>
  <si>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</si>
  <si>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</si>
  <si>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</si>
  <si>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</si>
  <si>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</si>
  <si>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</si>
  <si>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</si>
  <si>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</si>
  <si>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</si>
  <si>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</si>
  <si>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</si>
  <si>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</si>
  <si>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</si>
  <si>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</si>
  <si>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</si>
  <si>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</si>
  <si>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</si>
  <si>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</si>
  <si>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</si>
  <si>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</si>
  <si>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</si>
  <si>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</si>
  <si>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</si>
  <si>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</si>
  <si>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</si>
  <si>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</si>
  <si>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</si>
  <si>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</si>
  <si>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</si>
  <si>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</si>
  <si>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</si>
  <si>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</si>
  <si>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</si>
  <si>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</si>
  <si>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</si>
  <si>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</si>
  <si>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</si>
  <si>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</si>
  <si>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</si>
  <si>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</si>
  <si>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</si>
  <si>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</si>
  <si>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</si>
  <si>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</si>
  <si>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</si>
  <si>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</si>
  <si>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</si>
  <si>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</si>
  <si>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</si>
  <si>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</si>
  <si>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</si>
  <si>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</si>
  <si>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</si>
  <si>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</si>
  <si>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</si>
  <si>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</si>
  <si>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</si>
  <si>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</si>
  <si>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</si>
  <si>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</si>
  <si>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</si>
  <si>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</si>
  <si>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</si>
  <si>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School Education</t>
  </si>
  <si>
    <t>Outreach &amp; Comm</t>
  </si>
  <si>
    <t>Prior/New programs</t>
  </si>
  <si>
    <t>PacifiCorp (dba Pacific Power)</t>
  </si>
  <si>
    <t>Pacific Power &amp; Light Company</t>
  </si>
  <si>
    <t>Natasha Siores</t>
  </si>
  <si>
    <t>(503) 813-6583</t>
  </si>
  <si>
    <t>natasha.siores@pacificorp.com</t>
  </si>
  <si>
    <t>JC Boyle</t>
  </si>
  <si>
    <t>W180</t>
  </si>
  <si>
    <t>Lemolo 1</t>
  </si>
  <si>
    <t>W157</t>
  </si>
  <si>
    <t>Lemolo 2</t>
  </si>
  <si>
    <t>W158</t>
  </si>
  <si>
    <t>Prospect 2</t>
  </si>
  <si>
    <t>W140</t>
  </si>
  <si>
    <t>Wanapum Dam</t>
  </si>
  <si>
    <t>N/A</t>
  </si>
  <si>
    <t>Priest Rapids</t>
  </si>
  <si>
    <t>Goodnoe Hills</t>
  </si>
  <si>
    <t>W536</t>
  </si>
  <si>
    <t>Leaning Juniper</t>
  </si>
  <si>
    <t>W200</t>
  </si>
  <si>
    <t>Marengo</t>
  </si>
  <si>
    <t>W185</t>
  </si>
  <si>
    <t>Marengo II</t>
  </si>
  <si>
    <t>W772</t>
  </si>
  <si>
    <t>Tuana Springs Windfarm</t>
  </si>
  <si>
    <t>W1503</t>
  </si>
  <si>
    <t>Wolverine Creek</t>
  </si>
  <si>
    <t>399,000 to 402,031</t>
  </si>
  <si>
    <t>76,291 to 79,322</t>
  </si>
  <si>
    <t>Program Evaluations</t>
  </si>
  <si>
    <t>Potential Study</t>
  </si>
  <si>
    <t>Measure Data Documentation</t>
  </si>
  <si>
    <t>(35,641) to (32,610)</t>
  </si>
  <si>
    <t>6/30/2014 Revised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</si>
</sst>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6"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u/>
      <sz val="10"/>
      <color theme="10"/>
      <name val="Calibri"/>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8">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right style="hair">
        <color indexed="64"/>
      </right>
      <top/>
      <bottom/>
      <diagonal/>
    </border>
    <border>
      <left style="hair">
        <color indexed="64"/>
      </left>
      <right style="hair">
        <color indexed="64"/>
      </right>
      <top style="hair">
        <color indexed="64"/>
      </top>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93">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165" fontId="10" fillId="4" borderId="1" xfId="1" applyNumberFormat="1" applyFont="1" applyFill="1" applyBorder="1"/>
    <xf numFmtId="165" fontId="10" fillId="4" borderId="17" xfId="1" applyNumberFormat="1" applyFont="1" applyFill="1" applyBorder="1"/>
    <xf numFmtId="165" fontId="10" fillId="4" borderId="22"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9" fillId="2" borderId="28" xfId="0" applyFont="1" applyFill="1" applyBorder="1" applyAlignment="1">
      <alignment horizontal="right"/>
    </xf>
    <xf numFmtId="0" fontId="19" fillId="2" borderId="29" xfId="0" applyFont="1" applyFill="1" applyBorder="1" applyAlignment="1">
      <alignment horizontal="right"/>
    </xf>
    <xf numFmtId="0" fontId="19" fillId="2" borderId="0" xfId="0" applyFont="1" applyFill="1" applyAlignment="1">
      <alignment horizontal="right"/>
    </xf>
    <xf numFmtId="0" fontId="20" fillId="2" borderId="0" xfId="0" applyFont="1" applyFill="1"/>
    <xf numFmtId="0" fontId="20" fillId="2" borderId="0" xfId="0" applyFont="1" applyFill="1" applyBorder="1" applyAlignment="1"/>
    <xf numFmtId="0" fontId="19" fillId="2" borderId="0" xfId="0" applyFont="1" applyFill="1" applyBorder="1"/>
    <xf numFmtId="0" fontId="19"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2" xfId="0" applyFont="1" applyFill="1" applyBorder="1"/>
    <xf numFmtId="9" fontId="1" fillId="3" borderId="36" xfId="0" applyNumberFormat="1" applyFont="1" applyFill="1" applyBorder="1" applyAlignment="1">
      <alignment horizontal="center"/>
    </xf>
    <xf numFmtId="0" fontId="10" fillId="2" borderId="37" xfId="0" applyFont="1" applyFill="1" applyBorder="1"/>
    <xf numFmtId="0" fontId="10" fillId="2" borderId="31" xfId="0" applyFont="1" applyFill="1" applyBorder="1"/>
    <xf numFmtId="0" fontId="1" fillId="2" borderId="31" xfId="0" applyFont="1" applyFill="1" applyBorder="1" applyAlignment="1">
      <alignment horizontal="right"/>
    </xf>
    <xf numFmtId="0" fontId="22"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7" fillId="3" borderId="20" xfId="0" applyNumberFormat="1" applyFont="1" applyFill="1" applyBorder="1"/>
    <xf numFmtId="165" fontId="17" fillId="3" borderId="19" xfId="0" applyNumberFormat="1" applyFont="1" applyFill="1" applyBorder="1"/>
    <xf numFmtId="165" fontId="17" fillId="3" borderId="14" xfId="0" applyNumberFormat="1" applyFont="1" applyFill="1" applyBorder="1"/>
    <xf numFmtId="0" fontId="11" fillId="2" borderId="10" xfId="0" applyFont="1" applyFill="1" applyBorder="1" applyAlignment="1">
      <alignment horizontal="center" wrapText="1"/>
    </xf>
    <xf numFmtId="0" fontId="11" fillId="2" borderId="38" xfId="0" applyFont="1" applyFill="1" applyBorder="1" applyAlignment="1">
      <alignment horizontal="center" wrapText="1"/>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164" fontId="10" fillId="6" borderId="26" xfId="0" applyNumberFormat="1" applyFont="1" applyFill="1" applyBorder="1" applyAlignment="1">
      <alignment horizontal="center"/>
    </xf>
    <xf numFmtId="0" fontId="10" fillId="2" borderId="32" xfId="0" applyFont="1" applyFill="1" applyBorder="1" applyAlignment="1"/>
    <xf numFmtId="0" fontId="11" fillId="2" borderId="0" xfId="0" applyFont="1" applyFill="1" applyAlignment="1">
      <alignment horizontal="center"/>
    </xf>
    <xf numFmtId="0" fontId="10" fillId="0" borderId="40" xfId="0" applyFont="1" applyBorder="1" applyAlignment="1"/>
    <xf numFmtId="0" fontId="3" fillId="2" borderId="40" xfId="0" applyFont="1" applyFill="1" applyBorder="1" applyAlignment="1">
      <alignment horizontal="center"/>
    </xf>
    <xf numFmtId="164" fontId="10" fillId="7" borderId="26" xfId="0" applyNumberFormat="1" applyFont="1" applyFill="1" applyBorder="1" applyAlignment="1">
      <alignment horizontal="center"/>
    </xf>
    <xf numFmtId="164" fontId="10" fillId="7" borderId="27" xfId="0" applyNumberFormat="1" applyFont="1" applyFill="1" applyBorder="1" applyAlignment="1">
      <alignment horizontal="center"/>
    </xf>
    <xf numFmtId="169" fontId="10" fillId="5" borderId="23"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4" fillId="2" borderId="0" xfId="0" applyFont="1" applyFill="1" applyBorder="1" applyAlignment="1">
      <alignment vertical="top" wrapText="1"/>
    </xf>
    <xf numFmtId="0" fontId="24" fillId="2" borderId="31" xfId="0" applyFont="1" applyFill="1" applyBorder="1" applyAlignment="1">
      <alignment vertical="top" wrapText="1"/>
    </xf>
    <xf numFmtId="0" fontId="20" fillId="2" borderId="0" xfId="0" applyFont="1" applyFill="1" applyBorder="1"/>
    <xf numFmtId="0" fontId="24" fillId="2" borderId="37" xfId="0" applyFont="1" applyFill="1" applyBorder="1" applyAlignment="1">
      <alignment vertical="top"/>
    </xf>
    <xf numFmtId="167" fontId="10" fillId="3" borderId="13" xfId="4" applyNumberFormat="1" applyFont="1" applyFill="1" applyBorder="1" applyAlignment="1">
      <alignment horizontal="center"/>
    </xf>
    <xf numFmtId="0" fontId="25" fillId="0" borderId="41" xfId="0" applyFont="1" applyBorder="1" applyAlignment="1">
      <alignment vertical="center" wrapText="1"/>
    </xf>
    <xf numFmtId="0" fontId="25" fillId="0" borderId="42" xfId="0" applyFont="1" applyBorder="1" applyAlignment="1">
      <alignment vertical="center" wrapText="1"/>
    </xf>
    <xf numFmtId="0" fontId="19" fillId="0" borderId="42" xfId="0" applyFont="1" applyBorder="1" applyAlignment="1">
      <alignment vertical="center" wrapText="1"/>
    </xf>
    <xf numFmtId="0" fontId="19" fillId="0" borderId="43" xfId="0" applyFont="1" applyBorder="1" applyAlignment="1">
      <alignment vertical="center" wrapText="1"/>
    </xf>
    <xf numFmtId="0" fontId="27" fillId="8" borderId="44" xfId="0" applyFont="1" applyFill="1" applyBorder="1" applyAlignment="1">
      <alignment vertical="center"/>
    </xf>
    <xf numFmtId="0" fontId="27" fillId="8" borderId="45" xfId="0" applyFont="1" applyFill="1" applyBorder="1" applyAlignment="1">
      <alignment vertical="center"/>
    </xf>
    <xf numFmtId="0" fontId="29" fillId="8" borderId="42" xfId="0" applyFont="1" applyFill="1" applyBorder="1" applyAlignment="1">
      <alignment vertical="center" wrapText="1"/>
    </xf>
    <xf numFmtId="0" fontId="29" fillId="8" borderId="45" xfId="0" applyFont="1" applyFill="1" applyBorder="1" applyAlignment="1">
      <alignment vertical="center" wrapText="1"/>
    </xf>
    <xf numFmtId="0" fontId="27" fillId="8" borderId="42" xfId="0" applyFont="1" applyFill="1" applyBorder="1" applyAlignment="1">
      <alignment vertical="center" wrapText="1"/>
    </xf>
    <xf numFmtId="0" fontId="29" fillId="8" borderId="45" xfId="0" applyFont="1" applyFill="1" applyBorder="1" applyAlignment="1">
      <alignment vertical="center"/>
    </xf>
    <xf numFmtId="0" fontId="27" fillId="8" borderId="45" xfId="0" applyFont="1" applyFill="1" applyBorder="1" applyAlignment="1">
      <alignment vertical="center" wrapText="1"/>
    </xf>
    <xf numFmtId="0" fontId="25" fillId="8" borderId="45" xfId="0" applyFont="1" applyFill="1" applyBorder="1" applyAlignment="1">
      <alignment vertical="center"/>
    </xf>
    <xf numFmtId="0" fontId="27" fillId="8" borderId="42" xfId="0" applyFont="1" applyFill="1" applyBorder="1" applyAlignment="1">
      <alignment horizontal="left" vertical="center" wrapText="1" indent="5"/>
    </xf>
    <xf numFmtId="0" fontId="27" fillId="8" borderId="45" xfId="0" applyFont="1" applyFill="1" applyBorder="1" applyAlignment="1">
      <alignment horizontal="left" vertical="center" wrapText="1" indent="5"/>
    </xf>
    <xf numFmtId="0" fontId="29" fillId="8" borderId="42" xfId="0" applyFont="1" applyFill="1" applyBorder="1" applyAlignment="1">
      <alignment vertical="center"/>
    </xf>
    <xf numFmtId="0" fontId="31" fillId="8" borderId="42" xfId="0" applyFont="1" applyFill="1" applyBorder="1" applyAlignment="1">
      <alignment horizontal="left" vertical="center" wrapText="1" indent="5"/>
    </xf>
    <xf numFmtId="0" fontId="31" fillId="8" borderId="45" xfId="0" applyFont="1" applyFill="1" applyBorder="1" applyAlignment="1">
      <alignment horizontal="left" vertical="center" indent="5"/>
    </xf>
    <xf numFmtId="0" fontId="0" fillId="8" borderId="42" xfId="0" applyFill="1" applyBorder="1" applyAlignment="1">
      <alignment vertical="center" wrapText="1"/>
    </xf>
    <xf numFmtId="0" fontId="31" fillId="8" borderId="45" xfId="0" applyFont="1" applyFill="1" applyBorder="1" applyAlignment="1">
      <alignment horizontal="left" vertical="center" wrapText="1" indent="5"/>
    </xf>
    <xf numFmtId="0" fontId="30" fillId="8" borderId="45" xfId="0" applyFont="1" applyFill="1" applyBorder="1" applyAlignment="1">
      <alignment vertical="center" wrapText="1"/>
    </xf>
    <xf numFmtId="0" fontId="29" fillId="8" borderId="43" xfId="0" applyFont="1" applyFill="1" applyBorder="1" applyAlignment="1">
      <alignment vertical="center"/>
    </xf>
    <xf numFmtId="0" fontId="10" fillId="2" borderId="0" xfId="0" applyNumberFormat="1" applyFont="1" applyFill="1"/>
    <xf numFmtId="0" fontId="0" fillId="0" borderId="0" xfId="0" applyNumberFormat="1"/>
    <xf numFmtId="168" fontId="34" fillId="8" borderId="45" xfId="0" applyNumberFormat="1" applyFont="1" applyFill="1" applyBorder="1" applyAlignment="1">
      <alignment horizontal="left" vertical="center"/>
    </xf>
    <xf numFmtId="164" fontId="10" fillId="7" borderId="46" xfId="0" applyNumberFormat="1" applyFont="1" applyFill="1" applyBorder="1" applyAlignment="1">
      <alignment horizontal="center"/>
    </xf>
    <xf numFmtId="169" fontId="10" fillId="5" borderId="47" xfId="1" applyNumberFormat="1" applyFont="1" applyFill="1" applyBorder="1" applyAlignment="1">
      <alignment horizontal="right"/>
    </xf>
    <xf numFmtId="3" fontId="10" fillId="4" borderId="12" xfId="0" applyNumberFormat="1" applyFont="1" applyFill="1" applyBorder="1" applyAlignment="1">
      <alignment horizontal="center"/>
    </xf>
    <xf numFmtId="165" fontId="10" fillId="3" borderId="36" xfId="1" applyNumberFormat="1" applyFont="1" applyFill="1" applyBorder="1" applyAlignment="1">
      <alignment horizontal="center"/>
    </xf>
    <xf numFmtId="165" fontId="10" fillId="3" borderId="13" xfId="0" applyNumberFormat="1" applyFont="1" applyFill="1" applyBorder="1" applyAlignment="1">
      <alignment horizontal="center"/>
    </xf>
    <xf numFmtId="169" fontId="10" fillId="4" borderId="12" xfId="0" applyNumberFormat="1" applyFont="1" applyFill="1" applyBorder="1" applyAlignment="1"/>
    <xf numFmtId="0" fontId="3" fillId="4" borderId="14" xfId="0" applyFont="1" applyFill="1" applyBorder="1" applyAlignment="1">
      <alignment horizontal="right"/>
    </xf>
    <xf numFmtId="0" fontId="11" fillId="4" borderId="14" xfId="0" applyFont="1" applyFill="1" applyBorder="1"/>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165" fontId="10" fillId="4" borderId="21" xfId="1" applyNumberFormat="1" applyFont="1" applyFill="1" applyBorder="1"/>
    <xf numFmtId="165" fontId="10" fillId="4" borderId="22" xfId="1" applyNumberFormat="1" applyFont="1" applyFill="1" applyBorder="1"/>
    <xf numFmtId="0" fontId="1" fillId="4" borderId="33" xfId="0" applyFont="1" applyFill="1" applyBorder="1" applyAlignment="1">
      <alignment horizontal="right"/>
    </xf>
    <xf numFmtId="0" fontId="1" fillId="4" borderId="12" xfId="0" applyFont="1" applyFill="1" applyBorder="1" applyAlignment="1">
      <alignment horizontal="right"/>
    </xf>
    <xf numFmtId="165" fontId="10" fillId="4" borderId="1" xfId="1" applyNumberFormat="1" applyFont="1" applyFill="1" applyBorder="1"/>
    <xf numFmtId="165" fontId="10" fillId="4" borderId="23" xfId="1" applyNumberFormat="1" applyFont="1" applyFill="1" applyBorder="1"/>
    <xf numFmtId="165" fontId="16" fillId="4" borderId="10" xfId="1" applyNumberFormat="1" applyFont="1" applyFill="1" applyBorder="1" applyAlignment="1">
      <alignment horizontal="center"/>
    </xf>
    <xf numFmtId="165" fontId="16" fillId="4" borderId="6" xfId="1" applyNumberFormat="1" applyFont="1" applyFill="1" applyBorder="1" applyAlignment="1">
      <alignment horizontal="center"/>
    </xf>
    <xf numFmtId="165" fontId="10" fillId="4" borderId="6" xfId="1" applyNumberFormat="1" applyFont="1" applyFill="1" applyBorder="1"/>
    <xf numFmtId="0" fontId="1" fillId="4" borderId="12" xfId="0"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0" fontId="10" fillId="4" borderId="12" xfId="0" applyFont="1" applyFill="1" applyBorder="1"/>
    <xf numFmtId="165" fontId="11" fillId="5" borderId="2" xfId="1" applyNumberFormat="1" applyFont="1" applyFill="1" applyBorder="1" applyAlignment="1">
      <alignment horizontal="center"/>
    </xf>
    <xf numFmtId="0" fontId="10" fillId="4" borderId="12" xfId="0" applyFont="1" applyFill="1" applyBorder="1" applyAlignment="1">
      <alignment horizontal="right" vertical="center"/>
    </xf>
    <xf numFmtId="165" fontId="17" fillId="3" borderId="15" xfId="0" quotePrefix="1" applyNumberFormat="1" applyFont="1" applyFill="1" applyBorder="1"/>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0"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1" xfId="0" applyFont="1" applyFill="1" applyBorder="1" applyAlignment="1">
      <alignment horizontal="center"/>
    </xf>
    <xf numFmtId="0" fontId="11" fillId="2" borderId="30" xfId="0" applyFont="1" applyFill="1" applyBorder="1" applyAlignment="1"/>
    <xf numFmtId="0" fontId="11" fillId="2" borderId="39" xfId="0" applyFont="1" applyFill="1" applyBorder="1" applyAlignment="1">
      <alignment horizontal="center"/>
    </xf>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1" fillId="4" borderId="20" xfId="0" applyFont="1" applyFill="1" applyBorder="1" applyAlignment="1">
      <alignment horizontal="left"/>
    </xf>
    <xf numFmtId="0" fontId="11" fillId="4" borderId="20" xfId="0" applyFont="1" applyFill="1" applyBorder="1" applyAlignment="1"/>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0" fillId="4" borderId="14" xfId="0" applyFont="1" applyFill="1" applyBorder="1" applyAlignment="1">
      <alignment horizontal="left"/>
    </xf>
    <xf numFmtId="0" fontId="10" fillId="4" borderId="14" xfId="0" applyFont="1" applyFill="1" applyBorder="1" applyAlignment="1"/>
    <xf numFmtId="0" fontId="35" fillId="4" borderId="15" xfId="3" applyFont="1" applyFill="1" applyBorder="1" applyAlignment="1" applyProtection="1">
      <alignment horizontal="left"/>
    </xf>
    <xf numFmtId="0" fontId="10" fillId="4" borderId="15" xfId="0" applyFont="1" applyFill="1" applyBorder="1" applyAlignment="1"/>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14" fontId="10" fillId="4" borderId="14" xfId="0" applyNumberFormat="1" applyFont="1" applyFill="1" applyBorder="1" applyAlignment="1">
      <alignment horizontal="left"/>
    </xf>
    <xf numFmtId="14" fontId="10" fillId="4" borderId="14" xfId="0" applyNumberFormat="1" applyFont="1" applyFill="1" applyBorder="1" applyAlignment="1"/>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8" fillId="2" borderId="0" xfId="0" applyFont="1" applyFill="1" applyAlignment="1">
      <alignment horizontal="left" vertical="center" wrapText="1"/>
    </xf>
    <xf numFmtId="0" fontId="0" fillId="2" borderId="0" xfId="0" applyFill="1" applyAlignment="1">
      <alignment wrapText="1"/>
    </xf>
    <xf numFmtId="0" fontId="3" fillId="2" borderId="31" xfId="0" applyFont="1" applyFill="1" applyBorder="1" applyAlignment="1">
      <alignment horizontal="lef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38</xdr:row>
      <xdr:rowOff>31750</xdr:rowOff>
    </xdr:from>
    <xdr:to>
      <xdr:col>9</xdr:col>
      <xdr:colOff>638175</xdr:colOff>
      <xdr:row>49</xdr:row>
      <xdr:rowOff>266699</xdr:rowOff>
    </xdr:to>
    <xdr:sp macro="" textlink="">
      <xdr:nvSpPr>
        <xdr:cNvPr id="2" name="TextBox 1"/>
        <xdr:cNvSpPr txBox="1"/>
      </xdr:nvSpPr>
      <xdr:spPr>
        <a:xfrm>
          <a:off x="219075" y="7794625"/>
          <a:ext cx="8162925" cy="2330449"/>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As permitted by WAC 480-109-010(1)(b)(i), PacifiCorp has elected to utilize its 2011 Integrated Resource Plan (“IRP”) for establishing its projected ten-year conservation potential for its Washington service area. PacifiCorp</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elected to utilize the 2011 IRP as the source for its conservation potential and biennial target as it more accurately represents the Company’s resource position, resource options and resource costs than does the regional power plan. More importantly, the 2011 IRP had available more representative data on the Company’s conservation potential in Washington. The Company’s 2011 IRP was informed by the conservation potential identified in PacifiCorp’s Assessment of Long-Term System-Wide Potential for Demand-Side and Other Supplemental Resources (“conservation potential assessment”). Completed in March 2011 by </a:t>
          </a:r>
          <a:r>
            <a:rPr lang="en-US" sz="1100" baseline="0">
              <a:solidFill>
                <a:schemeClr val="dk1"/>
              </a:solidFill>
              <a:effectLst/>
              <a:latin typeface="+mn-lt"/>
              <a:ea typeface="+mn-ea"/>
              <a:cs typeface="+mn-cs"/>
            </a:rPr>
            <a:t>The Cadmus Group, Inc.</a:t>
          </a:r>
          <a:r>
            <a:rPr lang="en-US" sz="1100">
              <a:solidFill>
                <a:schemeClr val="dk1"/>
              </a:solidFill>
              <a:effectLst/>
              <a:latin typeface="+mn-lt"/>
              <a:ea typeface="+mn-ea"/>
              <a:cs typeface="+mn-cs"/>
            </a:rPr>
            <a:t>, the Company’s conservation potential assessment represents an independent and reliable assessment of the magnitude, timing, and costs of conservation potential available specific to PacifiCorp, providing the Company a significant advantage in the development of its Washington conservation potential and biennial target. Unlike the regional avoided cost average data and sales allocation methodology used in the regional power plan to approximate economic potential available to each utility in the region, the use of PacifiCorp’s 2011 IRP, informed by the service area specific conservation potential assessment, provides for the most reliable and accurate conservation forecast for both resource planning and the development of the Company’s Washington conservation potential and biennial target. </a:t>
          </a:r>
          <a:endParaRPr lang="en-US">
            <a:effectLst/>
          </a:endParaRPr>
        </a:p>
        <a:p>
          <a:endParaRPr lang="en-US" sz="1100"/>
        </a:p>
      </xdr:txBody>
    </xdr:sp>
    <xdr:clientData/>
  </xdr:twoCellAnchor>
  <xdr:twoCellAnchor>
    <xdr:from>
      <xdr:col>1</xdr:col>
      <xdr:colOff>0</xdr:colOff>
      <xdr:row>51</xdr:row>
      <xdr:rowOff>1</xdr:rowOff>
    </xdr:from>
    <xdr:to>
      <xdr:col>9</xdr:col>
      <xdr:colOff>638175</xdr:colOff>
      <xdr:row>70</xdr:row>
      <xdr:rowOff>85726</xdr:rowOff>
    </xdr:to>
    <xdr:sp macro="" textlink="">
      <xdr:nvSpPr>
        <xdr:cNvPr id="3" name="TextBox 2"/>
        <xdr:cNvSpPr txBox="1"/>
      </xdr:nvSpPr>
      <xdr:spPr>
        <a:xfrm>
          <a:off x="180975" y="9820276"/>
          <a:ext cx="830580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2014 revenue requirement is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from Docket UE-130043.</a:t>
          </a:r>
          <a:r>
            <a:rPr lang="en-US" sz="1100" baseline="0">
              <a:solidFill>
                <a:schemeClr val="dk1"/>
              </a:solidFill>
              <a:effectLst/>
              <a:latin typeface="+mn-lt"/>
              <a:ea typeface="+mn-ea"/>
              <a:cs typeface="+mn-cs"/>
            </a:rPr>
            <a:t>  For description of incremental cost for resources, please refer to the renewable report for </a:t>
          </a:r>
          <a:r>
            <a:rPr lang="en-US" sz="1100">
              <a:solidFill>
                <a:schemeClr val="dk1"/>
              </a:solidFill>
              <a:effectLst/>
              <a:latin typeface="+mn-lt"/>
              <a:ea typeface="+mn-ea"/>
              <a:cs typeface="+mn-cs"/>
            </a:rPr>
            <a:t>Pacific Power &amp; Light Company, a division of PacifiCorp </a:t>
          </a:r>
          <a:r>
            <a:rPr lang="en-US" sz="1100" baseline="0">
              <a:solidFill>
                <a:schemeClr val="dk1"/>
              </a:solidFill>
              <a:effectLst/>
              <a:latin typeface="+mn-lt"/>
              <a:ea typeface="+mn-ea"/>
              <a:cs typeface="+mn-cs"/>
            </a:rPr>
            <a:t> filed with the Washington Utilities and Transportation Commission on May, 30, 2014.</a:t>
          </a:r>
          <a:endParaRPr lang="en-US">
            <a:effectLst/>
          </a:endParaRPr>
        </a:p>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2014</a:t>
          </a:r>
          <a:r>
            <a:rPr lang="en-US" sz="1100" baseline="0">
              <a:solidFill>
                <a:schemeClr val="dk1"/>
              </a:solidFill>
              <a:effectLst/>
              <a:latin typeface="+mn-lt"/>
              <a:ea typeface="+mn-ea"/>
              <a:cs typeface="+mn-cs"/>
            </a:rPr>
            <a:t> data is an estimate and subject to  change.</a:t>
          </a:r>
          <a:endParaRPr lang="en-US">
            <a:effectLst/>
          </a:endParaRPr>
        </a:p>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natasha.siores@pacificorp.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natasha.siores@pacificorp.com"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6"/>
  <sheetViews>
    <sheetView topLeftCell="A4" workbookViewId="0">
      <selection activeCell="A13" sqref="A13"/>
    </sheetView>
  </sheetViews>
  <sheetFormatPr defaultRowHeight="15" x14ac:dyDescent="0.25"/>
  <cols>
    <col min="1" max="1" width="135.140625" customWidth="1"/>
    <col min="14" max="14" width="11.7109375" customWidth="1"/>
  </cols>
  <sheetData>
    <row r="1" spans="1:14" ht="18.75" x14ac:dyDescent="0.25">
      <c r="A1" s="108" t="s">
        <v>178</v>
      </c>
    </row>
    <row r="2" spans="1:14" x14ac:dyDescent="0.25">
      <c r="A2" s="127" t="s">
        <v>219</v>
      </c>
    </row>
    <row r="3" spans="1:14" x14ac:dyDescent="0.25">
      <c r="A3" s="109"/>
      <c r="N3" s="126"/>
    </row>
    <row r="4" spans="1:14" x14ac:dyDescent="0.25">
      <c r="A4" s="110" t="s">
        <v>179</v>
      </c>
    </row>
    <row r="5" spans="1:14" x14ac:dyDescent="0.25">
      <c r="A5" s="110" t="s">
        <v>180</v>
      </c>
      <c r="N5">
        <f>IF(REN_Load_2012+REN_Load_2013&gt;0,AVERAGE(REN_Load_2012,REN_Load_2013),0)</f>
        <v>4067292.9134999998</v>
      </c>
    </row>
    <row r="6" spans="1:14" x14ac:dyDescent="0.25">
      <c r="A6" s="111" t="s">
        <v>181</v>
      </c>
    </row>
    <row r="7" spans="1:14" x14ac:dyDescent="0.25">
      <c r="A7" s="109"/>
    </row>
    <row r="8" spans="1:14" ht="28.5" x14ac:dyDescent="0.25">
      <c r="A8" s="112" t="s">
        <v>182</v>
      </c>
    </row>
    <row r="9" spans="1:14" ht="28.5" x14ac:dyDescent="0.25">
      <c r="A9" s="112" t="s">
        <v>183</v>
      </c>
    </row>
    <row r="10" spans="1:14" x14ac:dyDescent="0.25">
      <c r="A10" s="112"/>
    </row>
    <row r="11" spans="1:14" x14ac:dyDescent="0.25">
      <c r="A11" s="113" t="s">
        <v>184</v>
      </c>
    </row>
    <row r="12" spans="1:14" x14ac:dyDescent="0.25">
      <c r="A12" s="109"/>
    </row>
    <row r="13" spans="1:14" ht="72.75" x14ac:dyDescent="0.25">
      <c r="A13" s="114" t="s">
        <v>185</v>
      </c>
    </row>
    <row r="14" spans="1:14" x14ac:dyDescent="0.25">
      <c r="A14" s="109"/>
    </row>
    <row r="15" spans="1:14" ht="29.25" x14ac:dyDescent="0.25">
      <c r="A15" s="111" t="s">
        <v>186</v>
      </c>
    </row>
    <row r="16" spans="1:14" x14ac:dyDescent="0.25">
      <c r="A16" s="114"/>
    </row>
    <row r="17" spans="1:1" x14ac:dyDescent="0.25">
      <c r="A17" s="109"/>
    </row>
    <row r="18" spans="1:1" ht="18.75" x14ac:dyDescent="0.25">
      <c r="A18" s="115" t="s">
        <v>187</v>
      </c>
    </row>
    <row r="19" spans="1:1" x14ac:dyDescent="0.25">
      <c r="A19" s="110" t="s">
        <v>188</v>
      </c>
    </row>
    <row r="20" spans="1:1" ht="28.5" x14ac:dyDescent="0.25">
      <c r="A20" s="116" t="s">
        <v>189</v>
      </c>
    </row>
    <row r="21" spans="1:1" x14ac:dyDescent="0.25">
      <c r="A21" s="117" t="s">
        <v>190</v>
      </c>
    </row>
    <row r="22" spans="1:1" x14ac:dyDescent="0.25">
      <c r="A22" s="109"/>
    </row>
    <row r="23" spans="1:1" x14ac:dyDescent="0.25">
      <c r="A23" s="118" t="s">
        <v>191</v>
      </c>
    </row>
    <row r="24" spans="1:1" ht="29.25" x14ac:dyDescent="0.25">
      <c r="A24" s="119" t="s">
        <v>192</v>
      </c>
    </row>
    <row r="25" spans="1:1" x14ac:dyDescent="0.25">
      <c r="A25" s="120" t="s">
        <v>193</v>
      </c>
    </row>
    <row r="26" spans="1:1" x14ac:dyDescent="0.25">
      <c r="A26" s="109"/>
    </row>
    <row r="27" spans="1:1" ht="43.5" x14ac:dyDescent="0.25">
      <c r="A27" s="110" t="s">
        <v>194</v>
      </c>
    </row>
    <row r="28" spans="1:1" x14ac:dyDescent="0.25">
      <c r="A28" s="121"/>
    </row>
    <row r="29" spans="1:1" ht="42.75" x14ac:dyDescent="0.25">
      <c r="A29" s="114" t="s">
        <v>195</v>
      </c>
    </row>
    <row r="30" spans="1:1" x14ac:dyDescent="0.25">
      <c r="A30" s="109"/>
    </row>
    <row r="31" spans="1:1" ht="43.5" x14ac:dyDescent="0.25">
      <c r="A31" s="111" t="s">
        <v>196</v>
      </c>
    </row>
    <row r="32" spans="1:1" x14ac:dyDescent="0.25">
      <c r="A32" s="109"/>
    </row>
    <row r="33" spans="1:1" ht="57.75" x14ac:dyDescent="0.25">
      <c r="A33" s="110" t="s">
        <v>197</v>
      </c>
    </row>
    <row r="34" spans="1:1" x14ac:dyDescent="0.25">
      <c r="A34" s="112"/>
    </row>
    <row r="35" spans="1:1" ht="28.5" x14ac:dyDescent="0.25">
      <c r="A35" s="112" t="s">
        <v>198</v>
      </c>
    </row>
    <row r="36" spans="1:1" x14ac:dyDescent="0.25">
      <c r="A36" s="119" t="s">
        <v>199</v>
      </c>
    </row>
    <row r="37" spans="1:1" x14ac:dyDescent="0.25">
      <c r="A37" s="119" t="s">
        <v>200</v>
      </c>
    </row>
    <row r="38" spans="1:1" x14ac:dyDescent="0.25">
      <c r="A38" s="122" t="s">
        <v>201</v>
      </c>
    </row>
    <row r="39" spans="1:1" x14ac:dyDescent="0.25">
      <c r="A39" s="109"/>
    </row>
    <row r="40" spans="1:1" ht="29.25" x14ac:dyDescent="0.25">
      <c r="A40" s="111" t="s">
        <v>202</v>
      </c>
    </row>
    <row r="41" spans="1:1" x14ac:dyDescent="0.25">
      <c r="A41" s="109"/>
    </row>
    <row r="42" spans="1:1" ht="18.75" x14ac:dyDescent="0.25">
      <c r="A42" s="115" t="s">
        <v>203</v>
      </c>
    </row>
    <row r="43" spans="1:1" ht="42.75" x14ac:dyDescent="0.25">
      <c r="A43" s="114" t="s">
        <v>204</v>
      </c>
    </row>
    <row r="44" spans="1:1" x14ac:dyDescent="0.25">
      <c r="A44" s="109"/>
    </row>
    <row r="45" spans="1:1" ht="43.5" x14ac:dyDescent="0.25">
      <c r="A45" s="111" t="s">
        <v>205</v>
      </c>
    </row>
    <row r="46" spans="1:1" x14ac:dyDescent="0.25">
      <c r="A46" s="109"/>
    </row>
    <row r="47" spans="1:1" ht="43.5" x14ac:dyDescent="0.25">
      <c r="A47" s="111" t="s">
        <v>206</v>
      </c>
    </row>
    <row r="48" spans="1:1" x14ac:dyDescent="0.25">
      <c r="A48" s="109"/>
    </row>
    <row r="49" spans="1:1" ht="43.5" x14ac:dyDescent="0.25">
      <c r="A49" s="111" t="s">
        <v>207</v>
      </c>
    </row>
    <row r="50" spans="1:1" x14ac:dyDescent="0.25">
      <c r="A50" s="109"/>
    </row>
    <row r="51" spans="1:1" x14ac:dyDescent="0.25">
      <c r="A51" s="110" t="s">
        <v>208</v>
      </c>
    </row>
    <row r="52" spans="1:1" ht="42.75" x14ac:dyDescent="0.25">
      <c r="A52" s="114" t="s">
        <v>209</v>
      </c>
    </row>
    <row r="53" spans="1:1" x14ac:dyDescent="0.25">
      <c r="A53" s="109"/>
    </row>
    <row r="54" spans="1:1" ht="57.75" x14ac:dyDescent="0.25">
      <c r="A54" s="123" t="s">
        <v>210</v>
      </c>
    </row>
    <row r="55" spans="1:1" x14ac:dyDescent="0.25">
      <c r="A55" s="109"/>
    </row>
    <row r="56" spans="1:1" ht="72" x14ac:dyDescent="0.25">
      <c r="A56" s="111" t="s">
        <v>211</v>
      </c>
    </row>
    <row r="57" spans="1:1" x14ac:dyDescent="0.25">
      <c r="A57" s="109"/>
    </row>
    <row r="58" spans="1:1" ht="57.75" x14ac:dyDescent="0.25">
      <c r="A58" s="111" t="s">
        <v>212</v>
      </c>
    </row>
    <row r="59" spans="1:1" x14ac:dyDescent="0.25">
      <c r="A59" s="109"/>
    </row>
    <row r="60" spans="1:1" x14ac:dyDescent="0.25">
      <c r="A60" s="110" t="s">
        <v>213</v>
      </c>
    </row>
    <row r="61" spans="1:1" ht="42.75" x14ac:dyDescent="0.25">
      <c r="A61" s="114" t="s">
        <v>214</v>
      </c>
    </row>
    <row r="62" spans="1:1" x14ac:dyDescent="0.25">
      <c r="A62" s="109"/>
    </row>
    <row r="63" spans="1:1" x14ac:dyDescent="0.25">
      <c r="A63" s="110" t="s">
        <v>215</v>
      </c>
    </row>
    <row r="64" spans="1:1" ht="42.75" x14ac:dyDescent="0.25">
      <c r="A64" s="114" t="s">
        <v>216</v>
      </c>
    </row>
    <row r="65" spans="1:1" x14ac:dyDescent="0.25">
      <c r="A65" s="109"/>
    </row>
    <row r="66" spans="1:1" ht="15.75" thickBot="1" x14ac:dyDescent="0.3">
      <c r="A66" s="124"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A14" sqref="A13:A14"/>
    </sheetView>
  </sheetViews>
  <sheetFormatPr defaultRowHeight="15" x14ac:dyDescent="0.25"/>
  <cols>
    <col min="1" max="1" width="107" customWidth="1"/>
    <col min="14" max="14" width="11.7109375" customWidth="1"/>
  </cols>
  <sheetData>
    <row r="1" spans="1:14" ht="18.75" x14ac:dyDescent="0.25">
      <c r="A1" s="104" t="s">
        <v>176</v>
      </c>
    </row>
    <row r="2" spans="1:14" ht="18.75" x14ac:dyDescent="0.25">
      <c r="A2" s="105"/>
    </row>
    <row r="3" spans="1:14" ht="57" x14ac:dyDescent="0.25">
      <c r="A3" s="106" t="s">
        <v>218</v>
      </c>
      <c r="N3" s="126"/>
    </row>
    <row r="4" spans="1:14" x14ac:dyDescent="0.25">
      <c r="A4" s="106"/>
    </row>
    <row r="5" spans="1:14" ht="29.25" thickBot="1" x14ac:dyDescent="0.3">
      <c r="A5" s="107" t="s">
        <v>177</v>
      </c>
      <c r="N5">
        <f>IF(REN_Load_2012+REN_Load_2013&gt;0,AVERAGE(REN_Load_2012,REN_Load_2013),0)</f>
        <v>4067292.9134999998</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N51"/>
  <sheetViews>
    <sheetView tabSelected="1" zoomScaleNormal="100" workbookViewId="0">
      <selection activeCell="N25" sqref="N25"/>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77" t="s">
        <v>77</v>
      </c>
    </row>
    <row r="2" spans="1:14" ht="15" customHeight="1" x14ac:dyDescent="0.2">
      <c r="B2" s="2"/>
    </row>
    <row r="3" spans="1:14" ht="14.25" customHeight="1" thickBot="1" x14ac:dyDescent="0.25">
      <c r="B3" s="3" t="s">
        <v>4</v>
      </c>
      <c r="C3" s="166" t="s">
        <v>223</v>
      </c>
      <c r="D3" s="167"/>
      <c r="E3" s="167"/>
      <c r="G3" s="163" t="s">
        <v>85</v>
      </c>
      <c r="H3" s="163"/>
      <c r="I3" s="163"/>
      <c r="J3" s="163"/>
      <c r="N3" s="125"/>
    </row>
    <row r="4" spans="1:14" ht="15" customHeight="1" x14ac:dyDescent="0.2">
      <c r="B4" s="4" t="s">
        <v>84</v>
      </c>
      <c r="C4" s="168" t="s">
        <v>256</v>
      </c>
      <c r="D4" s="169"/>
      <c r="E4" s="169"/>
      <c r="F4" s="16"/>
      <c r="H4" s="93" t="s">
        <v>81</v>
      </c>
      <c r="I4" s="92"/>
      <c r="J4" s="93" t="s">
        <v>82</v>
      </c>
    </row>
    <row r="5" spans="1:14" ht="15" customHeight="1" x14ac:dyDescent="0.2">
      <c r="B5" s="5" t="s">
        <v>83</v>
      </c>
      <c r="C5" s="170" t="s">
        <v>225</v>
      </c>
      <c r="D5" s="171"/>
      <c r="E5" s="171"/>
      <c r="F5" s="7"/>
      <c r="H5" s="91" t="s">
        <v>80</v>
      </c>
      <c r="J5" s="91" t="s">
        <v>80</v>
      </c>
      <c r="N5" s="1">
        <f>IF(REN_Load_2012+REN_Load_2013&gt;0,AVERAGE(REN_Load_2012,REN_Load_2013),0)</f>
        <v>4067292.9134999998</v>
      </c>
    </row>
    <row r="6" spans="1:14" ht="15" customHeight="1" x14ac:dyDescent="0.2">
      <c r="B6" s="5" t="s">
        <v>1</v>
      </c>
      <c r="C6" s="170" t="s">
        <v>226</v>
      </c>
      <c r="D6" s="171"/>
      <c r="E6" s="171"/>
      <c r="F6" s="7"/>
      <c r="G6" s="79" t="s">
        <v>66</v>
      </c>
      <c r="H6" s="80" t="str">
        <f>CON_Target_2012_2013</f>
        <v>76,291 to 79,322</v>
      </c>
      <c r="I6" s="79" t="s">
        <v>66</v>
      </c>
      <c r="J6" s="81">
        <f>CON_Target_2014_2015</f>
        <v>74703</v>
      </c>
    </row>
    <row r="7" spans="1:14" ht="15" customHeight="1" x14ac:dyDescent="0.2">
      <c r="B7" s="5" t="s">
        <v>2</v>
      </c>
      <c r="C7" s="172" t="s">
        <v>227</v>
      </c>
      <c r="D7" s="173"/>
      <c r="E7" s="173"/>
      <c r="F7" s="7"/>
      <c r="G7" s="79" t="s">
        <v>67</v>
      </c>
      <c r="H7" s="82">
        <f>CON_2012_MWH+CON_2013_MWH</f>
        <v>111923.18499960001</v>
      </c>
    </row>
    <row r="8" spans="1:14" ht="15" customHeight="1" thickBot="1" x14ac:dyDescent="0.25">
      <c r="B8" s="5"/>
      <c r="C8" s="78"/>
      <c r="D8" s="7"/>
      <c r="E8" s="7"/>
      <c r="F8" s="7"/>
      <c r="G8" s="79" t="s">
        <v>68</v>
      </c>
      <c r="H8" s="154" t="s">
        <v>255</v>
      </c>
    </row>
    <row r="9" spans="1:14" s="7" customFormat="1" ht="13.5" thickTop="1" x14ac:dyDescent="0.2">
      <c r="B9" s="158" t="s">
        <v>69</v>
      </c>
      <c r="C9" s="158"/>
      <c r="D9" s="158"/>
      <c r="E9" s="158"/>
      <c r="F9" s="159"/>
    </row>
    <row r="10" spans="1:14" s="7" customFormat="1" x14ac:dyDescent="0.2">
      <c r="B10" s="160" t="s">
        <v>36</v>
      </c>
      <c r="C10" s="161"/>
      <c r="D10" s="161" t="s">
        <v>72</v>
      </c>
      <c r="E10" s="161"/>
    </row>
    <row r="11" spans="1:14" ht="52.5" customHeight="1" x14ac:dyDescent="0.2">
      <c r="B11" s="83" t="s">
        <v>75</v>
      </c>
      <c r="C11" s="17" t="s">
        <v>51</v>
      </c>
      <c r="D11" s="17" t="s">
        <v>74</v>
      </c>
      <c r="E11" s="84" t="s">
        <v>73</v>
      </c>
    </row>
    <row r="12" spans="1:14" ht="15" customHeight="1" x14ac:dyDescent="0.2">
      <c r="B12" s="149" t="s">
        <v>250</v>
      </c>
      <c r="C12" s="150" t="s">
        <v>251</v>
      </c>
      <c r="D12" s="152">
        <v>391777</v>
      </c>
      <c r="E12" s="85">
        <v>74703</v>
      </c>
    </row>
    <row r="13" spans="1:14" ht="15" customHeight="1" thickBot="1" x14ac:dyDescent="0.25">
      <c r="B13" s="7"/>
      <c r="C13" s="7"/>
      <c r="D13" s="7"/>
      <c r="E13" s="7"/>
      <c r="F13" s="7"/>
      <c r="G13" s="7"/>
      <c r="H13" s="7"/>
    </row>
    <row r="14" spans="1:14" ht="13.5" thickTop="1" x14ac:dyDescent="0.2">
      <c r="B14" s="162" t="s">
        <v>3</v>
      </c>
      <c r="C14" s="162"/>
      <c r="D14" s="162"/>
      <c r="E14" s="162"/>
      <c r="F14" s="162"/>
      <c r="G14" s="162"/>
      <c r="H14" s="162"/>
    </row>
    <row r="15" spans="1:14" ht="15" customHeight="1" x14ac:dyDescent="0.2">
      <c r="A15" s="7"/>
      <c r="B15" s="18"/>
      <c r="D15" s="161" t="s">
        <v>49</v>
      </c>
      <c r="E15" s="161"/>
      <c r="G15" s="161" t="s">
        <v>71</v>
      </c>
      <c r="H15" s="161"/>
    </row>
    <row r="16" spans="1:14" ht="30.75" customHeight="1" x14ac:dyDescent="0.2">
      <c r="A16" s="7"/>
      <c r="C16" s="19" t="s">
        <v>43</v>
      </c>
      <c r="D16" s="17" t="s">
        <v>7</v>
      </c>
      <c r="E16" s="17" t="s">
        <v>8</v>
      </c>
      <c r="G16" s="17" t="s">
        <v>7</v>
      </c>
      <c r="H16" s="17" t="s">
        <v>8</v>
      </c>
    </row>
    <row r="17" spans="1:8" ht="15" customHeight="1" x14ac:dyDescent="0.2">
      <c r="A17" s="7"/>
      <c r="C17" s="35" t="s">
        <v>9</v>
      </c>
      <c r="D17" s="86">
        <v>9515.9599999999991</v>
      </c>
      <c r="E17" s="96">
        <v>2088600</v>
      </c>
      <c r="G17" s="86">
        <v>17048.064999999999</v>
      </c>
      <c r="H17" s="96">
        <v>2402711</v>
      </c>
    </row>
    <row r="18" spans="1:8" ht="15" customHeight="1" x14ac:dyDescent="0.2">
      <c r="A18" s="7"/>
      <c r="C18" s="35" t="s">
        <v>10</v>
      </c>
      <c r="D18" s="86">
        <v>13333.525</v>
      </c>
      <c r="E18" s="96">
        <v>2565569</v>
      </c>
      <c r="G18" s="86">
        <v>8053.9650000000001</v>
      </c>
      <c r="H18" s="96">
        <v>2022455</v>
      </c>
    </row>
    <row r="19" spans="1:8" ht="15" customHeight="1" x14ac:dyDescent="0.2">
      <c r="A19" s="7"/>
      <c r="C19" s="35" t="s">
        <v>11</v>
      </c>
      <c r="D19" s="86">
        <v>12738.395699999999</v>
      </c>
      <c r="E19" s="96">
        <v>2451122</v>
      </c>
      <c r="G19" s="86">
        <v>20583.66</v>
      </c>
      <c r="H19" s="96">
        <v>2769830</v>
      </c>
    </row>
    <row r="20" spans="1:8" ht="15" customHeight="1" x14ac:dyDescent="0.2">
      <c r="A20" s="7"/>
      <c r="C20" s="35" t="s">
        <v>12</v>
      </c>
      <c r="D20" s="86">
        <v>106.96299999999999</v>
      </c>
      <c r="E20" s="96">
        <v>7734</v>
      </c>
      <c r="G20" s="86">
        <v>657.74800000000005</v>
      </c>
      <c r="H20" s="96">
        <v>72675</v>
      </c>
    </row>
    <row r="21" spans="1:8" ht="15" customHeight="1" x14ac:dyDescent="0.2">
      <c r="A21" s="7"/>
      <c r="C21" s="35" t="s">
        <v>38</v>
      </c>
      <c r="D21" s="86">
        <v>0</v>
      </c>
      <c r="E21" s="96">
        <v>146618</v>
      </c>
      <c r="G21" s="86">
        <v>0</v>
      </c>
      <c r="H21" s="96"/>
    </row>
    <row r="22" spans="1:8" ht="15" customHeight="1" x14ac:dyDescent="0.2">
      <c r="A22" s="7"/>
      <c r="C22" s="36" t="s">
        <v>39</v>
      </c>
      <c r="D22" s="86">
        <f>8.7633+8.3139+6.5163</f>
        <v>23.593499999999999</v>
      </c>
      <c r="E22" s="96">
        <v>231495</v>
      </c>
      <c r="G22" s="86">
        <v>55.331799599999997</v>
      </c>
      <c r="H22" s="96"/>
    </row>
    <row r="23" spans="1:8" ht="15" customHeight="1" x14ac:dyDescent="0.2">
      <c r="A23" s="7"/>
      <c r="C23" s="36" t="s">
        <v>5</v>
      </c>
      <c r="D23" s="87">
        <v>15154.037</v>
      </c>
      <c r="E23" s="96">
        <v>1218412</v>
      </c>
      <c r="G23" s="87">
        <v>14651.941000000001</v>
      </c>
      <c r="H23" s="96">
        <v>1266576</v>
      </c>
    </row>
    <row r="24" spans="1:8" ht="15" customHeight="1" x14ac:dyDescent="0.2">
      <c r="A24" s="7"/>
      <c r="C24" s="88"/>
      <c r="D24" s="87"/>
      <c r="E24" s="96"/>
      <c r="G24" s="87"/>
      <c r="H24" s="96"/>
    </row>
    <row r="25" spans="1:8" ht="15" customHeight="1" x14ac:dyDescent="0.2">
      <c r="A25" s="7"/>
      <c r="C25" s="88"/>
      <c r="D25" s="87"/>
      <c r="E25" s="96"/>
      <c r="G25" s="87"/>
      <c r="H25" s="96"/>
    </row>
    <row r="26" spans="1:8" ht="30.75" customHeight="1" x14ac:dyDescent="0.2">
      <c r="A26" s="7"/>
      <c r="B26" s="164" t="s">
        <v>70</v>
      </c>
      <c r="C26" s="165"/>
      <c r="E26" s="97"/>
      <c r="H26" s="97"/>
    </row>
    <row r="27" spans="1:8" ht="15" customHeight="1" x14ac:dyDescent="0.2">
      <c r="A27" s="7"/>
      <c r="C27" s="153" t="s">
        <v>220</v>
      </c>
      <c r="D27" s="94"/>
      <c r="E27" s="96">
        <v>252946</v>
      </c>
      <c r="G27" s="94"/>
      <c r="H27" s="96">
        <v>76104</v>
      </c>
    </row>
    <row r="28" spans="1:8" ht="15" customHeight="1" x14ac:dyDescent="0.2">
      <c r="A28" s="7"/>
      <c r="C28" s="153" t="s">
        <v>221</v>
      </c>
      <c r="D28" s="128"/>
      <c r="E28" s="96">
        <v>209022</v>
      </c>
      <c r="G28" s="128"/>
      <c r="H28" s="96">
        <v>241213</v>
      </c>
    </row>
    <row r="29" spans="1:8" ht="15" customHeight="1" x14ac:dyDescent="0.2">
      <c r="A29" s="7"/>
      <c r="C29" s="153" t="s">
        <v>252</v>
      </c>
      <c r="D29" s="128"/>
      <c r="E29" s="96">
        <v>751468</v>
      </c>
      <c r="G29" s="128"/>
      <c r="H29" s="96">
        <v>430407</v>
      </c>
    </row>
    <row r="30" spans="1:8" ht="15" customHeight="1" x14ac:dyDescent="0.2">
      <c r="A30" s="7"/>
      <c r="C30" s="153" t="s">
        <v>253</v>
      </c>
      <c r="D30" s="128"/>
      <c r="E30" s="96">
        <v>125843</v>
      </c>
      <c r="G30" s="128"/>
      <c r="H30" s="96">
        <v>40704</v>
      </c>
    </row>
    <row r="31" spans="1:8" ht="15" customHeight="1" x14ac:dyDescent="0.2">
      <c r="A31" s="7"/>
      <c r="C31" s="153" t="s">
        <v>254</v>
      </c>
      <c r="D31" s="128"/>
      <c r="E31" s="96">
        <v>8021</v>
      </c>
      <c r="G31" s="128"/>
      <c r="H31" s="96">
        <v>83840</v>
      </c>
    </row>
    <row r="32" spans="1:8" ht="15" customHeight="1" x14ac:dyDescent="0.2">
      <c r="A32" s="7"/>
      <c r="C32" s="153" t="s">
        <v>222</v>
      </c>
      <c r="D32" s="95"/>
      <c r="E32" s="96">
        <v>-1836</v>
      </c>
      <c r="G32" s="95"/>
      <c r="H32" s="96"/>
    </row>
    <row r="33" spans="1:8" ht="15" customHeight="1" x14ac:dyDescent="0.2">
      <c r="A33" s="7"/>
      <c r="D33" s="128"/>
      <c r="E33" s="129"/>
      <c r="G33" s="128"/>
      <c r="H33" s="129"/>
    </row>
    <row r="34" spans="1:8" ht="15" customHeight="1" x14ac:dyDescent="0.2">
      <c r="C34" s="37" t="s">
        <v>6</v>
      </c>
      <c r="D34" s="34">
        <f>SUM(D17:D25)</f>
        <v>50872.474200000011</v>
      </c>
      <c r="E34" s="98">
        <f>SUM(E17:E32)</f>
        <v>10055014</v>
      </c>
      <c r="G34" s="34">
        <f>SUM(G17:G25)</f>
        <v>61050.710799599998</v>
      </c>
      <c r="H34" s="98">
        <f>SUM(H17:H32)</f>
        <v>9406515</v>
      </c>
    </row>
    <row r="35" spans="1:8" ht="15" customHeight="1" x14ac:dyDescent="0.2">
      <c r="B35" s="20"/>
      <c r="C35" s="21"/>
      <c r="D35" s="22"/>
      <c r="E35" s="21"/>
      <c r="F35" s="22"/>
    </row>
    <row r="36" spans="1:8" s="7" customFormat="1" ht="15" customHeight="1" x14ac:dyDescent="0.2">
      <c r="B36" s="3" t="s">
        <v>4</v>
      </c>
      <c r="C36" s="155" t="str">
        <f>CON_Utility_Name</f>
        <v>PacifiCorp (dba Pacific Power)</v>
      </c>
      <c r="D36" s="155"/>
      <c r="E36" s="155"/>
      <c r="F36" s="155"/>
    </row>
    <row r="37" spans="1:8" s="7" customFormat="1" ht="21" customHeight="1" x14ac:dyDescent="0.2">
      <c r="B37" s="3"/>
      <c r="C37" s="6"/>
      <c r="D37" s="6"/>
      <c r="E37" s="6"/>
      <c r="F37" s="6"/>
    </row>
    <row r="38" spans="1:8" s="23" customFormat="1" x14ac:dyDescent="0.25">
      <c r="B38" s="156" t="s">
        <v>76</v>
      </c>
      <c r="C38" s="157"/>
      <c r="D38" s="157"/>
      <c r="E38" s="157"/>
      <c r="F38" s="157"/>
    </row>
    <row r="39" spans="1:8" ht="15" customHeight="1" x14ac:dyDescent="0.2"/>
    <row r="40" spans="1:8" ht="15" customHeight="1" x14ac:dyDescent="0.2"/>
    <row r="41" spans="1:8" ht="15" customHeight="1" x14ac:dyDescent="0.2"/>
    <row r="42" spans="1:8" ht="15" customHeight="1" x14ac:dyDescent="0.2"/>
    <row r="43" spans="1:8" ht="15" customHeight="1" x14ac:dyDescent="0.2"/>
    <row r="44" spans="1:8" ht="15" customHeight="1" x14ac:dyDescent="0.2"/>
    <row r="45" spans="1:8" ht="15" customHeight="1" x14ac:dyDescent="0.2"/>
    <row r="46" spans="1:8" ht="15" customHeight="1" x14ac:dyDescent="0.2"/>
    <row r="47" spans="1:8" ht="15" customHeight="1" x14ac:dyDescent="0.2"/>
    <row r="48" spans="1:8" ht="15" customHeight="1" x14ac:dyDescent="0.2"/>
    <row r="49" spans="2:2" ht="15" customHeight="1" x14ac:dyDescent="0.2"/>
    <row r="50" spans="2:2" ht="22.5" customHeight="1" x14ac:dyDescent="0.2"/>
    <row r="51" spans="2:2" x14ac:dyDescent="0.2">
      <c r="B51" s="11" t="s">
        <v>37</v>
      </c>
    </row>
  </sheetData>
  <mergeCells count="16">
    <mergeCell ref="G14:H14"/>
    <mergeCell ref="G3:J3"/>
    <mergeCell ref="G15:H15"/>
    <mergeCell ref="B14:F14"/>
    <mergeCell ref="B26:C26"/>
    <mergeCell ref="D15:E15"/>
    <mergeCell ref="C3:E3"/>
    <mergeCell ref="C4:E4"/>
    <mergeCell ref="C5:E5"/>
    <mergeCell ref="C6:E6"/>
    <mergeCell ref="C7:E7"/>
    <mergeCell ref="C36:F36"/>
    <mergeCell ref="B38:F38"/>
    <mergeCell ref="B9:F9"/>
    <mergeCell ref="B10:C10"/>
    <mergeCell ref="D10:E10"/>
  </mergeCells>
  <hyperlinks>
    <hyperlink ref="C7" r:id="rId1"/>
  </hyperlinks>
  <pageMargins left="0.7" right="0.7" top="0.75" bottom="0.75" header="0.3" footer="0.3"/>
  <pageSetup scale="96" fitToHeight="0" orientation="landscape" r:id="rId2"/>
  <rowBreaks count="1" manualBreakCount="1">
    <brk id="34"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view="pageBreakPreview" zoomScaleNormal="100" zoomScaleSheetLayoutView="100" workbookViewId="0">
      <selection activeCell="B39" sqref="B39:G39"/>
    </sheetView>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2.570312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67" t="s">
        <v>60</v>
      </c>
      <c r="C1" s="67"/>
      <c r="D1" s="67"/>
      <c r="AC1" s="62" t="s">
        <v>52</v>
      </c>
      <c r="AH1" s="59"/>
    </row>
    <row r="2" spans="2:34" ht="14.25" x14ac:dyDescent="0.2">
      <c r="B2" s="28"/>
      <c r="C2" s="28"/>
      <c r="D2" s="28"/>
      <c r="I2" s="174" t="s">
        <v>48</v>
      </c>
      <c r="J2" s="175"/>
      <c r="K2" s="175"/>
      <c r="L2" s="175"/>
      <c r="M2" s="175"/>
      <c r="N2" s="176"/>
      <c r="AC2" s="63" t="s">
        <v>53</v>
      </c>
      <c r="AH2" s="57"/>
    </row>
    <row r="3" spans="2:34" ht="15" customHeight="1" x14ac:dyDescent="0.2">
      <c r="B3" s="3" t="s">
        <v>4</v>
      </c>
      <c r="C3" s="166" t="s">
        <v>224</v>
      </c>
      <c r="D3" s="167"/>
      <c r="E3" s="167"/>
      <c r="I3" s="72"/>
      <c r="J3" s="7"/>
      <c r="K3" s="7"/>
      <c r="L3" s="7"/>
      <c r="M3" s="71" t="s">
        <v>44</v>
      </c>
      <c r="N3" s="130">
        <v>4041897.855</v>
      </c>
      <c r="AC3" s="63" t="s">
        <v>54</v>
      </c>
      <c r="AH3" s="57"/>
    </row>
    <row r="4" spans="2:34" ht="15" customHeight="1" thickBot="1" x14ac:dyDescent="0.25">
      <c r="B4" s="4" t="s">
        <v>84</v>
      </c>
      <c r="C4" s="180">
        <v>41789</v>
      </c>
      <c r="D4" s="181"/>
      <c r="E4" s="181"/>
      <c r="I4" s="72"/>
      <c r="J4" s="7"/>
      <c r="K4" s="7"/>
      <c r="L4" s="7"/>
      <c r="M4" s="71" t="s">
        <v>57</v>
      </c>
      <c r="N4" s="130">
        <v>4092687.9720000001</v>
      </c>
      <c r="AC4" s="63" t="s">
        <v>55</v>
      </c>
      <c r="AH4" s="58"/>
    </row>
    <row r="5" spans="2:34" ht="15" customHeight="1" x14ac:dyDescent="0.2">
      <c r="B5" s="5" t="s">
        <v>0</v>
      </c>
      <c r="C5" s="170" t="s">
        <v>225</v>
      </c>
      <c r="D5" s="171"/>
      <c r="E5" s="171"/>
      <c r="I5" s="72"/>
      <c r="J5" s="7"/>
      <c r="K5" s="7"/>
      <c r="L5" s="7"/>
      <c r="M5" s="71" t="s">
        <v>58</v>
      </c>
      <c r="N5" s="131">
        <f>IF(REN_Load_2012+REN_Load_2013&gt;0,AVERAGE(REN_Load_2012,REN_Load_2013),0)</f>
        <v>4067292.9134999998</v>
      </c>
    </row>
    <row r="6" spans="2:34" ht="15" customHeight="1" x14ac:dyDescent="0.2">
      <c r="B6" s="5" t="s">
        <v>1</v>
      </c>
      <c r="C6" s="170" t="s">
        <v>226</v>
      </c>
      <c r="D6" s="171"/>
      <c r="E6" s="171"/>
      <c r="I6" s="72"/>
      <c r="J6" s="7"/>
      <c r="K6" s="7"/>
      <c r="L6" s="7"/>
      <c r="M6" s="71" t="s">
        <v>59</v>
      </c>
      <c r="N6" s="73">
        <v>0.03</v>
      </c>
    </row>
    <row r="7" spans="2:34" ht="15" customHeight="1" x14ac:dyDescent="0.2">
      <c r="B7" s="5" t="s">
        <v>2</v>
      </c>
      <c r="C7" s="172" t="s">
        <v>227</v>
      </c>
      <c r="D7" s="173"/>
      <c r="E7" s="173"/>
      <c r="I7" s="90"/>
      <c r="J7" s="7"/>
      <c r="K7" s="7"/>
      <c r="L7" s="7"/>
      <c r="M7" s="71" t="s">
        <v>65</v>
      </c>
      <c r="N7" s="131">
        <f>N5*N6</f>
        <v>122018.787405</v>
      </c>
    </row>
    <row r="8" spans="2:34" ht="15" customHeight="1" x14ac:dyDescent="0.2">
      <c r="B8" s="5"/>
      <c r="C8" s="5"/>
      <c r="D8" s="5"/>
      <c r="E8" s="56"/>
      <c r="I8" s="74"/>
      <c r="J8" s="75"/>
      <c r="K8" s="75"/>
      <c r="L8" s="75"/>
      <c r="M8" s="76" t="s">
        <v>56</v>
      </c>
      <c r="N8" s="132">
        <f>SUM(C20:M20)</f>
        <v>122018.74970873741</v>
      </c>
    </row>
    <row r="9" spans="2:34" ht="15" customHeight="1" x14ac:dyDescent="0.2">
      <c r="B9" s="3" t="s">
        <v>61</v>
      </c>
      <c r="C9" s="68"/>
      <c r="D9" s="68"/>
    </row>
    <row r="10" spans="2:34" ht="15" customHeight="1" x14ac:dyDescent="0.2">
      <c r="C10" s="28"/>
      <c r="D10" s="28"/>
      <c r="G10" s="177" t="s">
        <v>168</v>
      </c>
      <c r="H10" s="178"/>
      <c r="I10" s="178"/>
      <c r="J10" s="178"/>
      <c r="K10" s="178"/>
      <c r="L10" s="178"/>
      <c r="M10" s="178"/>
      <c r="N10" s="179"/>
    </row>
    <row r="11" spans="2:34" s="60" customFormat="1" ht="14.25" customHeight="1" x14ac:dyDescent="0.25">
      <c r="B11" s="1"/>
      <c r="C11" s="61"/>
      <c r="D11" s="61"/>
      <c r="G11" s="72" t="s">
        <v>167</v>
      </c>
      <c r="H11" s="101"/>
      <c r="I11" s="101"/>
      <c r="J11" s="101"/>
      <c r="K11" s="101"/>
      <c r="L11" s="101"/>
      <c r="M11" s="7"/>
      <c r="N11" s="133">
        <v>2083923.7079785783</v>
      </c>
    </row>
    <row r="12" spans="2:34" x14ac:dyDescent="0.2">
      <c r="C12" s="28"/>
      <c r="D12" s="28"/>
      <c r="G12" s="72" t="s">
        <v>175</v>
      </c>
      <c r="H12" s="99"/>
      <c r="I12" s="99"/>
      <c r="J12" s="99"/>
      <c r="K12" s="99"/>
      <c r="L12" s="7"/>
      <c r="M12" s="7"/>
      <c r="N12" s="133">
        <v>321059953</v>
      </c>
    </row>
    <row r="13" spans="2:34" x14ac:dyDescent="0.2">
      <c r="G13" s="102" t="s">
        <v>169</v>
      </c>
      <c r="H13" s="100"/>
      <c r="I13" s="100"/>
      <c r="J13" s="100"/>
      <c r="K13" s="100"/>
      <c r="L13" s="75"/>
      <c r="M13" s="75"/>
      <c r="N13" s="103">
        <f>IF(REN_RetailRevenueRequirement_2014&gt;0,REN_Expenditure_Amount_2014/REN_RetailRevenueRequirement_2014,"")</f>
        <v>6.4907618919964718E-3</v>
      </c>
    </row>
    <row r="14" spans="2:34" ht="17.45" customHeight="1" x14ac:dyDescent="0.2">
      <c r="I14" s="182"/>
      <c r="J14" s="182"/>
      <c r="K14" s="182"/>
      <c r="L14" s="182"/>
      <c r="M14" s="182"/>
      <c r="N14" s="53"/>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86</v>
      </c>
      <c r="M15" s="32" t="s">
        <v>87</v>
      </c>
      <c r="N15" s="53"/>
      <c r="O15" s="24"/>
      <c r="P15" s="24"/>
    </row>
    <row r="16" spans="2:34" ht="21.75" customHeight="1" x14ac:dyDescent="0.2">
      <c r="B16" s="10"/>
      <c r="C16" s="27" t="s">
        <v>23</v>
      </c>
      <c r="D16" s="27" t="s">
        <v>24</v>
      </c>
      <c r="E16" s="27" t="s">
        <v>25</v>
      </c>
      <c r="F16" s="27" t="s">
        <v>26</v>
      </c>
      <c r="G16" s="27" t="s">
        <v>27</v>
      </c>
      <c r="H16" s="27" t="s">
        <v>42</v>
      </c>
      <c r="I16" s="27" t="s">
        <v>28</v>
      </c>
      <c r="J16" s="27" t="s">
        <v>29</v>
      </c>
      <c r="K16" s="27" t="s">
        <v>30</v>
      </c>
      <c r="L16" s="27" t="s">
        <v>34</v>
      </c>
      <c r="M16" s="27" t="s">
        <v>31</v>
      </c>
      <c r="N16" s="53"/>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53"/>
      <c r="O17" s="24"/>
      <c r="P17" s="24"/>
    </row>
    <row r="18" spans="2:34" ht="15" customHeight="1" x14ac:dyDescent="0.2">
      <c r="B18" s="4" t="s">
        <v>45</v>
      </c>
      <c r="C18" s="12">
        <f t="shared" ref="C18:L18" si="0">SUM(E44:E64)</f>
        <v>2525.7607567374002</v>
      </c>
      <c r="D18" s="12">
        <f t="shared" si="0"/>
        <v>0</v>
      </c>
      <c r="E18" s="12">
        <f t="shared" si="0"/>
        <v>0</v>
      </c>
      <c r="F18" s="12">
        <f t="shared" si="0"/>
        <v>0</v>
      </c>
      <c r="G18" s="12">
        <f t="shared" si="0"/>
        <v>0</v>
      </c>
      <c r="H18" s="12">
        <f t="shared" si="0"/>
        <v>0</v>
      </c>
      <c r="I18" s="12">
        <f t="shared" si="0"/>
        <v>0</v>
      </c>
      <c r="J18" s="12">
        <f t="shared" si="0"/>
        <v>0</v>
      </c>
      <c r="K18" s="12">
        <f t="shared" si="0"/>
        <v>0</v>
      </c>
      <c r="L18" s="12">
        <f t="shared" si="0"/>
        <v>0</v>
      </c>
      <c r="M18" s="89"/>
      <c r="N18" s="54"/>
      <c r="O18" s="65"/>
      <c r="P18" s="65"/>
    </row>
    <row r="19" spans="2:34" ht="16.5" customHeight="1" x14ac:dyDescent="0.2">
      <c r="B19" s="4" t="s">
        <v>46</v>
      </c>
      <c r="C19" s="89"/>
      <c r="D19" s="13">
        <f t="shared" ref="D19:M19" si="1">SUM(F72:F96)</f>
        <v>119492.988952</v>
      </c>
      <c r="E19" s="13">
        <f t="shared" si="1"/>
        <v>0</v>
      </c>
      <c r="F19" s="13">
        <f t="shared" si="1"/>
        <v>0</v>
      </c>
      <c r="G19" s="13">
        <f t="shared" si="1"/>
        <v>0</v>
      </c>
      <c r="H19" s="13">
        <f t="shared" si="1"/>
        <v>0</v>
      </c>
      <c r="I19" s="13">
        <f t="shared" si="1"/>
        <v>0</v>
      </c>
      <c r="J19" s="13">
        <f t="shared" si="1"/>
        <v>0</v>
      </c>
      <c r="K19" s="13">
        <f t="shared" si="1"/>
        <v>0</v>
      </c>
      <c r="L19" s="13">
        <f t="shared" si="1"/>
        <v>0</v>
      </c>
      <c r="M19" s="13">
        <f t="shared" si="1"/>
        <v>0</v>
      </c>
      <c r="N19" s="55"/>
      <c r="O19" s="24"/>
      <c r="P19" s="24"/>
    </row>
    <row r="20" spans="2:34" ht="16.5" customHeight="1" x14ac:dyDescent="0.2">
      <c r="B20" s="5" t="s">
        <v>47</v>
      </c>
      <c r="C20" s="14">
        <f t="shared" ref="C20:L20" si="2">C18+C19</f>
        <v>2525.7607567374002</v>
      </c>
      <c r="D20" s="14">
        <f t="shared" si="2"/>
        <v>119492.988952</v>
      </c>
      <c r="E20" s="14">
        <f t="shared" si="2"/>
        <v>0</v>
      </c>
      <c r="F20" s="14">
        <f t="shared" si="2"/>
        <v>0</v>
      </c>
      <c r="G20" s="14">
        <f t="shared" si="2"/>
        <v>0</v>
      </c>
      <c r="H20" s="14">
        <f t="shared" si="2"/>
        <v>0</v>
      </c>
      <c r="I20" s="14">
        <f t="shared" si="2"/>
        <v>0</v>
      </c>
      <c r="J20" s="14">
        <f t="shared" si="2"/>
        <v>0</v>
      </c>
      <c r="K20" s="14">
        <f t="shared" si="2"/>
        <v>0</v>
      </c>
      <c r="L20" s="14">
        <f t="shared" si="2"/>
        <v>0</v>
      </c>
      <c r="M20" s="13">
        <f>M19</f>
        <v>0</v>
      </c>
      <c r="N20" s="55"/>
      <c r="O20" s="24"/>
      <c r="P20" s="24"/>
    </row>
    <row r="21" spans="2:34" ht="16.5" customHeight="1" x14ac:dyDescent="0.2">
      <c r="L21" s="7"/>
      <c r="M21" s="4"/>
      <c r="N21" s="55"/>
      <c r="O21" s="24"/>
      <c r="P21" s="24"/>
    </row>
    <row r="22" spans="2:34" ht="21.75" customHeight="1" x14ac:dyDescent="0.2">
      <c r="L22" s="7"/>
      <c r="M22" s="4"/>
      <c r="N22" s="55"/>
      <c r="O22" s="24"/>
      <c r="P22" s="24"/>
    </row>
    <row r="23" spans="2:34" ht="15" customHeight="1" x14ac:dyDescent="0.2">
      <c r="B23" s="66"/>
      <c r="C23" s="69"/>
      <c r="D23" s="69"/>
      <c r="E23" s="66"/>
      <c r="F23" s="69"/>
      <c r="G23" s="69"/>
      <c r="I23" s="7"/>
      <c r="J23" s="7"/>
      <c r="K23" s="7"/>
      <c r="L23" s="7"/>
      <c r="M23" s="4"/>
      <c r="N23" s="55"/>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83" t="str">
        <f>C3</f>
        <v>Pacific Power &amp; Light Company</v>
      </c>
      <c r="G36" s="184"/>
      <c r="H36" s="185"/>
    </row>
    <row r="37" spans="2:34" ht="15" customHeight="1" x14ac:dyDescent="0.2">
      <c r="E37" s="10" t="s">
        <v>13</v>
      </c>
      <c r="F37" s="186">
        <v>2014</v>
      </c>
      <c r="G37" s="187"/>
      <c r="H37" s="188"/>
    </row>
    <row r="38" spans="2:34" ht="15" customHeight="1" x14ac:dyDescent="0.2">
      <c r="E38" s="10"/>
      <c r="F38" s="64"/>
      <c r="G38" s="9"/>
      <c r="H38" s="9"/>
    </row>
    <row r="39" spans="2:34" s="29" customFormat="1" ht="27" customHeight="1" x14ac:dyDescent="0.25">
      <c r="B39" s="189" t="s">
        <v>173</v>
      </c>
      <c r="C39" s="190"/>
      <c r="D39" s="190"/>
      <c r="E39" s="191"/>
      <c r="F39" s="191"/>
      <c r="G39" s="191"/>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0" t="s">
        <v>35</v>
      </c>
      <c r="C43" s="192" t="s">
        <v>62</v>
      </c>
      <c r="D43" s="192"/>
      <c r="E43" s="25" t="s">
        <v>7</v>
      </c>
      <c r="F43" s="25" t="s">
        <v>7</v>
      </c>
      <c r="G43" s="25" t="s">
        <v>7</v>
      </c>
      <c r="H43" s="25" t="s">
        <v>7</v>
      </c>
      <c r="I43" s="25" t="s">
        <v>7</v>
      </c>
      <c r="J43" s="25" t="s">
        <v>7</v>
      </c>
      <c r="K43" s="25" t="s">
        <v>7</v>
      </c>
      <c r="L43" s="25" t="s">
        <v>7</v>
      </c>
      <c r="M43" s="25" t="s">
        <v>7</v>
      </c>
      <c r="N43" s="25" t="s">
        <v>64</v>
      </c>
      <c r="AH43" s="11"/>
    </row>
    <row r="44" spans="2:34" ht="15" customHeight="1" x14ac:dyDescent="0.2">
      <c r="B44" s="141" t="s">
        <v>228</v>
      </c>
      <c r="C44" s="136" t="s">
        <v>229</v>
      </c>
      <c r="D44" s="136"/>
      <c r="E44" s="139">
        <v>209.97942306179999</v>
      </c>
      <c r="F44" s="43"/>
      <c r="G44" s="43"/>
      <c r="H44" s="43"/>
      <c r="I44" s="43"/>
      <c r="J44" s="43"/>
      <c r="K44" s="43"/>
      <c r="L44" s="43"/>
      <c r="M44" s="43"/>
      <c r="N44" s="43"/>
    </row>
    <row r="45" spans="2:34" ht="15" customHeight="1" x14ac:dyDescent="0.2">
      <c r="B45" s="142" t="s">
        <v>230</v>
      </c>
      <c r="C45" s="137" t="s">
        <v>231</v>
      </c>
      <c r="D45" s="137"/>
      <c r="E45" s="140">
        <v>922.70688722159991</v>
      </c>
      <c r="F45" s="46"/>
      <c r="G45" s="46"/>
      <c r="H45" s="46"/>
      <c r="I45" s="46"/>
      <c r="J45" s="46"/>
      <c r="K45" s="46"/>
      <c r="L45" s="46"/>
      <c r="M45" s="46"/>
      <c r="N45" s="46"/>
    </row>
    <row r="46" spans="2:34" ht="15" customHeight="1" x14ac:dyDescent="0.2">
      <c r="B46" s="142" t="s">
        <v>232</v>
      </c>
      <c r="C46" s="138" t="s">
        <v>233</v>
      </c>
      <c r="D46" s="137"/>
      <c r="E46" s="140">
        <v>85.389394989599992</v>
      </c>
      <c r="F46" s="46"/>
      <c r="G46" s="46"/>
      <c r="H46" s="46"/>
      <c r="I46" s="46"/>
      <c r="J46" s="46"/>
      <c r="K46" s="46"/>
      <c r="L46" s="46"/>
      <c r="M46" s="46"/>
      <c r="N46" s="46"/>
    </row>
    <row r="47" spans="2:34" ht="15" customHeight="1" x14ac:dyDescent="0.2">
      <c r="B47" s="142" t="s">
        <v>234</v>
      </c>
      <c r="C47" s="137" t="s">
        <v>235</v>
      </c>
      <c r="D47" s="138"/>
      <c r="E47" s="140">
        <v>261.93266971199995</v>
      </c>
      <c r="F47" s="46"/>
      <c r="G47" s="46"/>
      <c r="H47" s="46"/>
      <c r="I47" s="46"/>
      <c r="J47" s="46"/>
      <c r="K47" s="46"/>
      <c r="L47" s="46"/>
      <c r="M47" s="46"/>
      <c r="N47" s="46"/>
    </row>
    <row r="48" spans="2:34" ht="15" customHeight="1" x14ac:dyDescent="0.2">
      <c r="B48" s="142" t="s">
        <v>236</v>
      </c>
      <c r="C48" s="137" t="s">
        <v>237</v>
      </c>
      <c r="D48" s="134"/>
      <c r="E48" s="140">
        <v>491.65583561640005</v>
      </c>
      <c r="F48" s="46"/>
      <c r="G48" s="46"/>
      <c r="H48" s="46"/>
      <c r="I48" s="46"/>
      <c r="J48" s="46"/>
      <c r="K48" s="46"/>
      <c r="L48" s="46"/>
      <c r="M48" s="46"/>
      <c r="N48" s="46"/>
    </row>
    <row r="49" spans="2:14" ht="15" customHeight="1" x14ac:dyDescent="0.2">
      <c r="B49" s="142" t="s">
        <v>238</v>
      </c>
      <c r="C49" s="137" t="s">
        <v>237</v>
      </c>
      <c r="D49" s="135"/>
      <c r="E49" s="140">
        <v>554.09654613600003</v>
      </c>
      <c r="F49" s="46"/>
      <c r="G49" s="46"/>
      <c r="H49" s="46"/>
      <c r="I49" s="46"/>
      <c r="J49" s="46"/>
      <c r="K49" s="46"/>
      <c r="L49" s="46"/>
      <c r="M49" s="46"/>
      <c r="N49" s="46"/>
    </row>
    <row r="50" spans="2:14" ht="15" customHeight="1" x14ac:dyDescent="0.2">
      <c r="B50" s="40"/>
      <c r="C50" s="38"/>
      <c r="D50" s="38"/>
      <c r="E50" s="45"/>
      <c r="F50" s="46"/>
      <c r="G50" s="46"/>
      <c r="H50" s="46"/>
      <c r="I50" s="46"/>
      <c r="J50" s="46"/>
      <c r="K50" s="46"/>
      <c r="L50" s="46"/>
      <c r="M50" s="46"/>
      <c r="N50" s="46"/>
    </row>
    <row r="51" spans="2:14" ht="15" customHeight="1" x14ac:dyDescent="0.2">
      <c r="B51" s="40"/>
      <c r="C51" s="38"/>
      <c r="D51" s="38"/>
      <c r="E51" s="45"/>
      <c r="F51" s="46"/>
      <c r="G51" s="46"/>
      <c r="H51" s="46"/>
      <c r="I51" s="46"/>
      <c r="J51" s="46"/>
      <c r="K51" s="46"/>
      <c r="L51" s="46"/>
      <c r="M51" s="46"/>
      <c r="N51" s="46"/>
    </row>
    <row r="52" spans="2:14" ht="15" customHeight="1" x14ac:dyDescent="0.2">
      <c r="B52" s="40"/>
      <c r="C52" s="38"/>
      <c r="D52" s="38"/>
      <c r="E52" s="45"/>
      <c r="F52" s="46"/>
      <c r="G52" s="46"/>
      <c r="H52" s="46"/>
      <c r="I52" s="46"/>
      <c r="J52" s="46"/>
      <c r="K52" s="46"/>
      <c r="L52" s="46"/>
      <c r="M52" s="46"/>
      <c r="N52" s="46"/>
    </row>
    <row r="53" spans="2:14" ht="15" customHeight="1" x14ac:dyDescent="0.2">
      <c r="B53" s="40"/>
      <c r="C53" s="38"/>
      <c r="D53" s="38"/>
      <c r="E53" s="45"/>
      <c r="F53" s="46"/>
      <c r="G53" s="46"/>
      <c r="H53" s="46"/>
      <c r="I53" s="46"/>
      <c r="J53" s="46"/>
      <c r="K53" s="46"/>
      <c r="L53" s="46"/>
      <c r="M53" s="46"/>
      <c r="N53" s="46"/>
    </row>
    <row r="54" spans="2:14" ht="15" customHeight="1" x14ac:dyDescent="0.2">
      <c r="B54" s="40"/>
      <c r="C54" s="38"/>
      <c r="D54" s="38"/>
      <c r="E54" s="45"/>
      <c r="F54" s="46"/>
      <c r="G54" s="46"/>
      <c r="H54" s="46"/>
      <c r="I54" s="46"/>
      <c r="J54" s="46"/>
      <c r="K54" s="46"/>
      <c r="L54" s="46"/>
      <c r="M54" s="46"/>
      <c r="N54" s="46"/>
    </row>
    <row r="55" spans="2:14" ht="15" customHeight="1" x14ac:dyDescent="0.2">
      <c r="B55" s="40"/>
      <c r="C55" s="38"/>
      <c r="D55" s="38"/>
      <c r="E55" s="45"/>
      <c r="F55" s="46"/>
      <c r="G55" s="46"/>
      <c r="H55" s="46"/>
      <c r="I55" s="46"/>
      <c r="J55" s="46"/>
      <c r="K55" s="46"/>
      <c r="L55" s="46"/>
      <c r="M55" s="46"/>
      <c r="N55" s="46"/>
    </row>
    <row r="56" spans="2:14" ht="15" customHeight="1" x14ac:dyDescent="0.2">
      <c r="B56" s="40"/>
      <c r="C56" s="38"/>
      <c r="D56" s="38"/>
      <c r="E56" s="45"/>
      <c r="F56" s="46"/>
      <c r="G56" s="46"/>
      <c r="H56" s="46"/>
      <c r="I56" s="46"/>
      <c r="J56" s="46"/>
      <c r="K56" s="46"/>
      <c r="L56" s="46"/>
      <c r="M56" s="46"/>
      <c r="N56" s="46"/>
    </row>
    <row r="57" spans="2:14" ht="15" customHeight="1" x14ac:dyDescent="0.2">
      <c r="B57" s="40"/>
      <c r="C57" s="38"/>
      <c r="D57" s="38"/>
      <c r="E57" s="45"/>
      <c r="F57" s="46"/>
      <c r="G57" s="46"/>
      <c r="H57" s="46"/>
      <c r="I57" s="46"/>
      <c r="J57" s="46"/>
      <c r="K57" s="46"/>
      <c r="L57" s="46"/>
      <c r="M57" s="46"/>
      <c r="N57" s="46"/>
    </row>
    <row r="58" spans="2:14" ht="15" customHeight="1" x14ac:dyDescent="0.2">
      <c r="B58" s="40"/>
      <c r="C58" s="38"/>
      <c r="D58" s="38"/>
      <c r="E58" s="45"/>
      <c r="F58" s="46"/>
      <c r="G58" s="46"/>
      <c r="H58" s="46"/>
      <c r="I58" s="46"/>
      <c r="J58" s="46"/>
      <c r="K58" s="46"/>
      <c r="L58" s="46"/>
      <c r="M58" s="46"/>
      <c r="N58" s="46"/>
    </row>
    <row r="59" spans="2:14" ht="15" customHeight="1" x14ac:dyDescent="0.2">
      <c r="B59" s="40"/>
      <c r="C59" s="38"/>
      <c r="D59" s="38"/>
      <c r="E59" s="45"/>
      <c r="F59" s="46"/>
      <c r="G59" s="46"/>
      <c r="H59" s="46"/>
      <c r="I59" s="46"/>
      <c r="J59" s="46"/>
      <c r="K59" s="46"/>
      <c r="L59" s="46"/>
      <c r="M59" s="46"/>
      <c r="N59" s="46"/>
    </row>
    <row r="60" spans="2:14" ht="15" customHeight="1" x14ac:dyDescent="0.2">
      <c r="B60" s="40"/>
      <c r="C60" s="38"/>
      <c r="D60" s="38"/>
      <c r="E60" s="45"/>
      <c r="F60" s="46"/>
      <c r="G60" s="46"/>
      <c r="H60" s="46"/>
      <c r="I60" s="46"/>
      <c r="J60" s="46"/>
      <c r="K60" s="46"/>
      <c r="L60" s="46"/>
      <c r="M60" s="46"/>
      <c r="N60" s="46"/>
    </row>
    <row r="61" spans="2:14" ht="15" customHeight="1" x14ac:dyDescent="0.2">
      <c r="B61" s="40"/>
      <c r="C61" s="38"/>
      <c r="D61" s="38"/>
      <c r="E61" s="45"/>
      <c r="F61" s="46"/>
      <c r="G61" s="46"/>
      <c r="H61" s="46"/>
      <c r="I61" s="46"/>
      <c r="J61" s="46"/>
      <c r="K61" s="46"/>
      <c r="L61" s="46"/>
      <c r="M61" s="46"/>
      <c r="N61" s="46"/>
    </row>
    <row r="62" spans="2:14" ht="15" customHeight="1" x14ac:dyDescent="0.2">
      <c r="B62" s="40"/>
      <c r="C62" s="38"/>
      <c r="D62" s="38"/>
      <c r="E62" s="45"/>
      <c r="F62" s="46"/>
      <c r="G62" s="46"/>
      <c r="H62" s="46"/>
      <c r="I62" s="46"/>
      <c r="J62" s="46"/>
      <c r="K62" s="46"/>
      <c r="L62" s="46"/>
      <c r="M62" s="46"/>
      <c r="N62" s="46"/>
    </row>
    <row r="63" spans="2:14" ht="15" customHeight="1" x14ac:dyDescent="0.2">
      <c r="B63" s="40"/>
      <c r="C63" s="38"/>
      <c r="D63" s="38"/>
      <c r="E63" s="45"/>
      <c r="F63" s="46"/>
      <c r="G63" s="46"/>
      <c r="H63" s="46"/>
      <c r="I63" s="46"/>
      <c r="J63" s="46"/>
      <c r="K63" s="46"/>
      <c r="L63" s="46"/>
      <c r="M63" s="46"/>
      <c r="N63" s="46"/>
    </row>
    <row r="64" spans="2:14" ht="15" customHeight="1" x14ac:dyDescent="0.2">
      <c r="B64" s="41"/>
      <c r="C64" s="39"/>
      <c r="D64" s="39"/>
      <c r="E64" s="48"/>
      <c r="F64" s="49"/>
      <c r="G64" s="49"/>
      <c r="H64" s="49"/>
      <c r="I64" s="49"/>
      <c r="J64" s="49"/>
      <c r="K64" s="49"/>
      <c r="L64" s="49"/>
      <c r="M64" s="49"/>
      <c r="N64" s="49"/>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3" t="str">
        <f>C3</f>
        <v>Pacific Power &amp; Light Company</v>
      </c>
      <c r="G66" s="184"/>
      <c r="H66" s="185"/>
    </row>
    <row r="67" spans="1:34" ht="15" customHeight="1" x14ac:dyDescent="0.2">
      <c r="E67" s="10" t="s">
        <v>13</v>
      </c>
      <c r="F67" s="186">
        <v>2014</v>
      </c>
      <c r="G67" s="187"/>
      <c r="H67" s="188"/>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0" t="s">
        <v>35</v>
      </c>
      <c r="C71" s="42" t="s">
        <v>62</v>
      </c>
      <c r="D71" s="42"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148" t="s">
        <v>239</v>
      </c>
      <c r="C72" s="151" t="s">
        <v>240</v>
      </c>
      <c r="D72" s="151">
        <v>2013</v>
      </c>
      <c r="E72" s="145"/>
      <c r="F72" s="143">
        <v>17896.112983999999</v>
      </c>
      <c r="G72" s="43"/>
      <c r="H72" s="43"/>
      <c r="I72" s="43"/>
      <c r="J72" s="43"/>
      <c r="K72" s="43"/>
      <c r="L72" s="43"/>
      <c r="M72" s="43"/>
      <c r="N72" s="43"/>
      <c r="O72" s="44"/>
    </row>
    <row r="73" spans="1:34" ht="15" customHeight="1" x14ac:dyDescent="0.2">
      <c r="A73" s="7"/>
      <c r="B73" s="148" t="s">
        <v>241</v>
      </c>
      <c r="C73" s="151" t="s">
        <v>242</v>
      </c>
      <c r="D73" s="151">
        <v>2013</v>
      </c>
      <c r="E73" s="146"/>
      <c r="F73" s="144">
        <v>16235.002672000001</v>
      </c>
      <c r="G73" s="46"/>
      <c r="H73" s="46"/>
      <c r="I73" s="46"/>
      <c r="J73" s="46"/>
      <c r="K73" s="46"/>
      <c r="L73" s="46"/>
      <c r="M73" s="46"/>
      <c r="N73" s="46"/>
      <c r="O73" s="47"/>
    </row>
    <row r="74" spans="1:34" ht="15" customHeight="1" x14ac:dyDescent="0.2">
      <c r="A74" s="7"/>
      <c r="B74" s="148" t="s">
        <v>243</v>
      </c>
      <c r="C74" s="151" t="s">
        <v>244</v>
      </c>
      <c r="D74" s="151">
        <v>2013</v>
      </c>
      <c r="E74" s="146"/>
      <c r="F74" s="144">
        <v>26084.487519999999</v>
      </c>
      <c r="G74" s="46"/>
      <c r="H74" s="46"/>
      <c r="I74" s="46"/>
      <c r="J74" s="46"/>
      <c r="K74" s="46"/>
      <c r="L74" s="46"/>
      <c r="M74" s="46"/>
      <c r="N74" s="46"/>
      <c r="O74" s="47"/>
    </row>
    <row r="75" spans="1:34" ht="15" customHeight="1" x14ac:dyDescent="0.2">
      <c r="A75" s="7"/>
      <c r="B75" s="148" t="s">
        <v>245</v>
      </c>
      <c r="C75" s="151" t="s">
        <v>246</v>
      </c>
      <c r="D75" s="151">
        <v>2013</v>
      </c>
      <c r="E75" s="146"/>
      <c r="F75" s="144">
        <v>12175.385775999999</v>
      </c>
      <c r="G75" s="46"/>
      <c r="H75" s="46"/>
      <c r="I75" s="46"/>
      <c r="J75" s="46"/>
      <c r="K75" s="46"/>
      <c r="L75" s="46"/>
      <c r="M75" s="46"/>
      <c r="N75" s="46"/>
      <c r="O75" s="47"/>
    </row>
    <row r="76" spans="1:34" ht="15" customHeight="1" x14ac:dyDescent="0.2">
      <c r="A76" s="7"/>
      <c r="B76" s="148" t="s">
        <v>247</v>
      </c>
      <c r="C76" s="151" t="s">
        <v>248</v>
      </c>
      <c r="D76" s="151">
        <v>2013</v>
      </c>
      <c r="E76" s="147"/>
      <c r="F76" s="144">
        <v>6731</v>
      </c>
      <c r="G76" s="46"/>
      <c r="H76" s="46"/>
      <c r="I76" s="46"/>
      <c r="J76" s="46"/>
      <c r="K76" s="46"/>
      <c r="L76" s="46"/>
      <c r="M76" s="46"/>
      <c r="N76" s="46"/>
      <c r="O76" s="47"/>
    </row>
    <row r="77" spans="1:34" ht="15" customHeight="1" x14ac:dyDescent="0.2">
      <c r="A77" s="7"/>
      <c r="B77" s="148" t="s">
        <v>247</v>
      </c>
      <c r="C77" s="151" t="s">
        <v>248</v>
      </c>
      <c r="D77" s="151">
        <v>2014</v>
      </c>
      <c r="E77" s="147"/>
      <c r="F77" s="144">
        <v>35021</v>
      </c>
      <c r="G77" s="46"/>
      <c r="H77" s="46"/>
      <c r="I77" s="46"/>
      <c r="J77" s="46"/>
      <c r="K77" s="46"/>
      <c r="L77" s="46"/>
      <c r="M77" s="46"/>
      <c r="N77" s="46"/>
      <c r="O77" s="47"/>
    </row>
    <row r="78" spans="1:34" ht="15" customHeight="1" x14ac:dyDescent="0.2">
      <c r="A78" s="7"/>
      <c r="B78" s="148" t="s">
        <v>241</v>
      </c>
      <c r="C78" s="151" t="s">
        <v>242</v>
      </c>
      <c r="D78" s="151">
        <v>2014</v>
      </c>
      <c r="E78" s="147"/>
      <c r="F78" s="144">
        <v>5350</v>
      </c>
      <c r="G78" s="46"/>
      <c r="H78" s="46"/>
      <c r="I78" s="46"/>
      <c r="J78" s="46"/>
      <c r="K78" s="46"/>
      <c r="L78" s="46"/>
      <c r="M78" s="46"/>
      <c r="N78" s="46"/>
      <c r="O78" s="47"/>
    </row>
    <row r="79" spans="1:34" ht="15" customHeight="1" x14ac:dyDescent="0.2">
      <c r="B79" s="148" t="s">
        <v>249</v>
      </c>
      <c r="C79" s="151" t="s">
        <v>240</v>
      </c>
      <c r="D79" s="151">
        <v>2014</v>
      </c>
      <c r="E79" s="147"/>
      <c r="F79" s="144">
        <v>0</v>
      </c>
      <c r="G79" s="46"/>
      <c r="H79" s="46"/>
      <c r="I79" s="46"/>
      <c r="J79" s="46"/>
      <c r="K79" s="46"/>
      <c r="L79" s="46"/>
      <c r="M79" s="46"/>
      <c r="N79" s="46"/>
      <c r="O79" s="47"/>
    </row>
    <row r="80" spans="1:34" ht="15" customHeight="1" x14ac:dyDescent="0.2">
      <c r="B80" s="40"/>
      <c r="C80" s="40"/>
      <c r="D80" s="40"/>
      <c r="E80" s="51"/>
      <c r="F80" s="46"/>
      <c r="G80" s="46"/>
      <c r="H80" s="46"/>
      <c r="I80" s="46"/>
      <c r="J80" s="46"/>
      <c r="K80" s="46"/>
      <c r="L80" s="46"/>
      <c r="M80" s="46"/>
      <c r="N80" s="46"/>
      <c r="O80" s="47"/>
    </row>
    <row r="81" spans="2:15" ht="15" customHeight="1" x14ac:dyDescent="0.2">
      <c r="B81" s="40"/>
      <c r="C81" s="40"/>
      <c r="D81" s="40"/>
      <c r="E81" s="51"/>
      <c r="F81" s="46"/>
      <c r="G81" s="46"/>
      <c r="H81" s="46"/>
      <c r="I81" s="46"/>
      <c r="J81" s="46"/>
      <c r="K81" s="46"/>
      <c r="L81" s="46"/>
      <c r="M81" s="46"/>
      <c r="N81" s="46"/>
      <c r="O81" s="47"/>
    </row>
    <row r="82" spans="2:15" ht="15" customHeight="1" x14ac:dyDescent="0.2">
      <c r="B82" s="40"/>
      <c r="C82" s="40"/>
      <c r="D82" s="40"/>
      <c r="E82" s="51"/>
      <c r="F82" s="46"/>
      <c r="G82" s="46"/>
      <c r="H82" s="46"/>
      <c r="I82" s="46"/>
      <c r="J82" s="46"/>
      <c r="K82" s="46"/>
      <c r="L82" s="46"/>
      <c r="M82" s="46"/>
      <c r="N82" s="46"/>
      <c r="O82" s="47"/>
    </row>
    <row r="83" spans="2:15" ht="15" customHeight="1" x14ac:dyDescent="0.2">
      <c r="B83" s="40"/>
      <c r="C83" s="40"/>
      <c r="D83" s="40"/>
      <c r="E83" s="51"/>
      <c r="F83" s="46"/>
      <c r="G83" s="46"/>
      <c r="H83" s="46"/>
      <c r="I83" s="46"/>
      <c r="J83" s="46"/>
      <c r="K83" s="46"/>
      <c r="L83" s="46"/>
      <c r="M83" s="46"/>
      <c r="N83" s="46"/>
      <c r="O83" s="47"/>
    </row>
    <row r="84" spans="2:15" ht="15" customHeight="1" x14ac:dyDescent="0.2">
      <c r="B84" s="40"/>
      <c r="C84" s="40"/>
      <c r="D84" s="40"/>
      <c r="E84" s="51"/>
      <c r="F84" s="46"/>
      <c r="G84" s="46"/>
      <c r="H84" s="46"/>
      <c r="I84" s="46"/>
      <c r="J84" s="46"/>
      <c r="K84" s="46"/>
      <c r="L84" s="46"/>
      <c r="M84" s="46"/>
      <c r="N84" s="46"/>
      <c r="O84" s="47"/>
    </row>
    <row r="85" spans="2:15" ht="15" customHeight="1" x14ac:dyDescent="0.2">
      <c r="B85" s="40"/>
      <c r="C85" s="40"/>
      <c r="D85" s="40"/>
      <c r="E85" s="51"/>
      <c r="F85" s="46"/>
      <c r="G85" s="46"/>
      <c r="H85" s="46"/>
      <c r="I85" s="46"/>
      <c r="J85" s="46"/>
      <c r="K85" s="46"/>
      <c r="L85" s="46"/>
      <c r="M85" s="46"/>
      <c r="N85" s="46"/>
      <c r="O85" s="47"/>
    </row>
    <row r="86" spans="2:15" ht="15" customHeight="1" x14ac:dyDescent="0.2">
      <c r="B86" s="40"/>
      <c r="C86" s="40"/>
      <c r="D86" s="40"/>
      <c r="E86" s="51"/>
      <c r="F86" s="46"/>
      <c r="G86" s="46"/>
      <c r="H86" s="46"/>
      <c r="I86" s="46"/>
      <c r="J86" s="46"/>
      <c r="K86" s="46"/>
      <c r="L86" s="46"/>
      <c r="M86" s="46"/>
      <c r="N86" s="46"/>
      <c r="O86" s="47"/>
    </row>
    <row r="87" spans="2:15" ht="15" customHeight="1" x14ac:dyDescent="0.2">
      <c r="B87" s="40"/>
      <c r="C87" s="40"/>
      <c r="D87" s="40"/>
      <c r="E87" s="51"/>
      <c r="F87" s="46"/>
      <c r="G87" s="46"/>
      <c r="H87" s="46"/>
      <c r="I87" s="46"/>
      <c r="J87" s="46"/>
      <c r="K87" s="46"/>
      <c r="L87" s="46"/>
      <c r="M87" s="46"/>
      <c r="N87" s="46"/>
      <c r="O87" s="47"/>
    </row>
    <row r="88" spans="2:15" ht="15" customHeight="1" x14ac:dyDescent="0.2">
      <c r="B88" s="40"/>
      <c r="C88" s="40"/>
      <c r="D88" s="40"/>
      <c r="E88" s="51"/>
      <c r="F88" s="46"/>
      <c r="G88" s="46"/>
      <c r="H88" s="46"/>
      <c r="I88" s="46"/>
      <c r="J88" s="46"/>
      <c r="K88" s="46"/>
      <c r="L88" s="46"/>
      <c r="M88" s="46"/>
      <c r="N88" s="46"/>
      <c r="O88" s="47"/>
    </row>
    <row r="89" spans="2:15" ht="15" customHeight="1" x14ac:dyDescent="0.2">
      <c r="B89" s="40"/>
      <c r="C89" s="40"/>
      <c r="D89" s="40"/>
      <c r="E89" s="51"/>
      <c r="F89" s="46"/>
      <c r="G89" s="46"/>
      <c r="H89" s="46"/>
      <c r="I89" s="46"/>
      <c r="J89" s="46"/>
      <c r="K89" s="46"/>
      <c r="L89" s="46"/>
      <c r="M89" s="46"/>
      <c r="N89" s="46"/>
      <c r="O89" s="47"/>
    </row>
    <row r="90" spans="2:15" ht="15" customHeight="1" x14ac:dyDescent="0.2">
      <c r="B90" s="40"/>
      <c r="C90" s="40"/>
      <c r="D90" s="40"/>
      <c r="E90" s="51"/>
      <c r="F90" s="46"/>
      <c r="G90" s="46"/>
      <c r="H90" s="46"/>
      <c r="I90" s="46"/>
      <c r="J90" s="46"/>
      <c r="K90" s="46"/>
      <c r="L90" s="46"/>
      <c r="M90" s="46"/>
      <c r="N90" s="46"/>
      <c r="O90" s="47"/>
    </row>
    <row r="91" spans="2:15" ht="15" customHeight="1" x14ac:dyDescent="0.2">
      <c r="B91" s="40"/>
      <c r="C91" s="40"/>
      <c r="D91" s="40"/>
      <c r="E91" s="51"/>
      <c r="F91" s="46"/>
      <c r="G91" s="46"/>
      <c r="H91" s="46"/>
      <c r="I91" s="46"/>
      <c r="J91" s="46"/>
      <c r="K91" s="46"/>
      <c r="L91" s="46"/>
      <c r="M91" s="46"/>
      <c r="N91" s="46"/>
      <c r="O91" s="47"/>
    </row>
    <row r="92" spans="2:15" ht="15" customHeight="1" x14ac:dyDescent="0.2">
      <c r="B92" s="40"/>
      <c r="C92" s="40"/>
      <c r="D92" s="40"/>
      <c r="E92" s="51"/>
      <c r="F92" s="46"/>
      <c r="G92" s="46"/>
      <c r="H92" s="46"/>
      <c r="I92" s="46"/>
      <c r="J92" s="46"/>
      <c r="K92" s="46"/>
      <c r="L92" s="46"/>
      <c r="M92" s="46"/>
      <c r="N92" s="46"/>
      <c r="O92" s="47"/>
    </row>
    <row r="93" spans="2:15" ht="15" customHeight="1" x14ac:dyDescent="0.2">
      <c r="B93" s="40"/>
      <c r="C93" s="40"/>
      <c r="D93" s="40"/>
      <c r="E93" s="51"/>
      <c r="F93" s="46"/>
      <c r="G93" s="46"/>
      <c r="H93" s="46"/>
      <c r="I93" s="46"/>
      <c r="J93" s="46"/>
      <c r="K93" s="46"/>
      <c r="L93" s="46"/>
      <c r="M93" s="46"/>
      <c r="N93" s="46"/>
      <c r="O93" s="47"/>
    </row>
    <row r="94" spans="2:15" ht="15" customHeight="1" x14ac:dyDescent="0.2">
      <c r="B94" s="40"/>
      <c r="C94" s="40"/>
      <c r="D94" s="40"/>
      <c r="E94" s="51"/>
      <c r="F94" s="46"/>
      <c r="G94" s="46"/>
      <c r="H94" s="46"/>
      <c r="I94" s="46"/>
      <c r="J94" s="46"/>
      <c r="K94" s="46"/>
      <c r="L94" s="46"/>
      <c r="M94" s="46"/>
      <c r="N94" s="46"/>
      <c r="O94" s="47"/>
    </row>
    <row r="95" spans="2:15" ht="15" customHeight="1" x14ac:dyDescent="0.2">
      <c r="B95" s="40"/>
      <c r="C95" s="40"/>
      <c r="D95" s="40"/>
      <c r="E95" s="51"/>
      <c r="F95" s="46"/>
      <c r="G95" s="46"/>
      <c r="H95" s="46"/>
      <c r="I95" s="46"/>
      <c r="J95" s="46"/>
      <c r="K95" s="46"/>
      <c r="L95" s="46"/>
      <c r="M95" s="46"/>
      <c r="N95" s="46"/>
      <c r="O95" s="47"/>
    </row>
    <row r="96" spans="2:15" ht="15" customHeight="1" x14ac:dyDescent="0.2">
      <c r="B96" s="41"/>
      <c r="C96" s="41"/>
      <c r="D96" s="41"/>
      <c r="E96" s="52"/>
      <c r="F96" s="49"/>
      <c r="G96" s="49"/>
      <c r="H96" s="49"/>
      <c r="I96" s="49"/>
      <c r="J96" s="49"/>
      <c r="K96" s="49"/>
      <c r="L96" s="49"/>
      <c r="M96" s="49"/>
      <c r="N96" s="49"/>
      <c r="O96" s="50"/>
    </row>
    <row r="97" spans="2:34" ht="15" customHeight="1" x14ac:dyDescent="0.2"/>
    <row r="98" spans="2:34" ht="15" customHeight="1" x14ac:dyDescent="0.2">
      <c r="B98" s="11"/>
      <c r="C98" s="11"/>
      <c r="D98" s="11"/>
      <c r="E98" s="10" t="s">
        <v>4</v>
      </c>
      <c r="F98" s="183" t="str">
        <f>C3</f>
        <v>Pacific Power &amp; Light Company</v>
      </c>
      <c r="G98" s="184"/>
      <c r="H98" s="185"/>
    </row>
    <row r="99" spans="2:34" ht="15" customHeight="1" x14ac:dyDescent="0.2">
      <c r="E99" s="10" t="s">
        <v>50</v>
      </c>
      <c r="F99" s="186">
        <v>2014</v>
      </c>
      <c r="G99" s="187"/>
      <c r="H99" s="188"/>
    </row>
    <row r="100" spans="2:34" ht="15" customHeight="1" x14ac:dyDescent="0.2">
      <c r="B100" s="11" t="s">
        <v>78</v>
      </c>
      <c r="C100" s="11"/>
      <c r="D100" s="11"/>
      <c r="E100" s="10"/>
      <c r="F100" s="64"/>
    </row>
    <row r="101" spans="2:34" ht="15" customHeight="1" x14ac:dyDescent="0.2">
      <c r="B101" s="28"/>
      <c r="C101" s="28"/>
      <c r="D101" s="28"/>
      <c r="E101" s="28"/>
      <c r="F101" s="28"/>
      <c r="G101" s="28"/>
      <c r="H101" s="28"/>
      <c r="I101" s="28"/>
      <c r="J101" s="28"/>
      <c r="K101" s="28"/>
      <c r="L101" s="28"/>
      <c r="M101" s="28"/>
    </row>
    <row r="102" spans="2:34" ht="15" customHeight="1" x14ac:dyDescent="0.2">
      <c r="B102" s="28"/>
      <c r="C102" s="28"/>
      <c r="D102" s="28"/>
      <c r="E102" s="28"/>
      <c r="F102" s="28"/>
      <c r="G102" s="28"/>
      <c r="H102" s="28"/>
      <c r="I102" s="28"/>
      <c r="J102" s="28"/>
      <c r="K102" s="28"/>
      <c r="L102" s="28"/>
      <c r="M102" s="28"/>
    </row>
    <row r="103" spans="2:34" s="7" customFormat="1" ht="15" customHeight="1" x14ac:dyDescent="0.2">
      <c r="B103" s="28"/>
      <c r="C103" s="28"/>
      <c r="D103" s="28"/>
      <c r="E103" s="28"/>
      <c r="F103" s="28"/>
      <c r="G103" s="28"/>
      <c r="H103" s="28"/>
      <c r="I103" s="28"/>
      <c r="J103" s="28"/>
      <c r="K103" s="28"/>
      <c r="L103" s="28"/>
      <c r="M103" s="28"/>
      <c r="AH103" s="1"/>
    </row>
    <row r="104" spans="2:34" s="7" customFormat="1" ht="15" customHeight="1" x14ac:dyDescent="0.2">
      <c r="B104" s="28"/>
      <c r="C104" s="28"/>
      <c r="D104" s="28"/>
      <c r="E104" s="28"/>
      <c r="F104" s="28"/>
      <c r="G104" s="28"/>
      <c r="H104" s="28"/>
      <c r="I104" s="28"/>
      <c r="J104" s="28"/>
      <c r="K104" s="28"/>
      <c r="L104" s="28"/>
      <c r="M104" s="28"/>
    </row>
    <row r="105" spans="2:34" s="7" customForma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x14ac:dyDescent="0.2">
      <c r="B108" s="28"/>
      <c r="C108" s="28"/>
      <c r="D108" s="28"/>
      <c r="E108" s="28"/>
      <c r="F108" s="28"/>
      <c r="G108" s="28"/>
      <c r="H108" s="28"/>
      <c r="I108" s="28"/>
      <c r="J108" s="28"/>
      <c r="K108" s="28"/>
      <c r="L108" s="28"/>
      <c r="M108" s="28"/>
      <c r="AH108" s="7"/>
    </row>
    <row r="109" spans="2:34" x14ac:dyDescent="0.2">
      <c r="B109" s="28"/>
      <c r="C109" s="28"/>
      <c r="D109" s="28"/>
      <c r="E109" s="28"/>
      <c r="F109" s="28"/>
      <c r="G109" s="28"/>
      <c r="H109" s="28"/>
      <c r="I109" s="28"/>
      <c r="J109" s="28"/>
      <c r="K109" s="28"/>
      <c r="L109" s="28"/>
      <c r="M109" s="28"/>
    </row>
    <row r="110" spans="2:34" x14ac:dyDescent="0.2">
      <c r="B110" s="28"/>
      <c r="C110" s="28"/>
      <c r="D110" s="28"/>
      <c r="E110" s="28"/>
      <c r="F110" s="28"/>
      <c r="G110" s="28"/>
      <c r="H110" s="28"/>
      <c r="I110" s="28"/>
      <c r="J110" s="28"/>
      <c r="K110" s="28"/>
      <c r="L110" s="28"/>
      <c r="M110" s="28"/>
    </row>
    <row r="111" spans="2:34" x14ac:dyDescent="0.2">
      <c r="B111" s="28"/>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 t="s">
        <v>79</v>
      </c>
      <c r="C115" s="28"/>
      <c r="D115" s="28"/>
      <c r="E115" s="28"/>
      <c r="F115" s="28"/>
      <c r="G115" s="28"/>
      <c r="H115" s="28"/>
      <c r="I115" s="28"/>
      <c r="J115" s="28"/>
      <c r="K115" s="28"/>
      <c r="L115" s="28"/>
      <c r="M115" s="28"/>
    </row>
    <row r="116" spans="2:13" x14ac:dyDescent="0.2">
      <c r="B116" s="28"/>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71"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Pacific Power &amp; Light Company</v>
      </c>
      <c r="B2">
        <f>REN_Total_2014</f>
        <v>122018.74970873741</v>
      </c>
      <c r="C2">
        <f>CON_2012_Agriculture_MWH</f>
        <v>106.96299999999999</v>
      </c>
      <c r="D2">
        <f>CON_2012_Commercial_Expend</f>
        <v>2565569</v>
      </c>
      <c r="E2">
        <f>CON_2012_Commercial_MWH</f>
        <v>13333.525</v>
      </c>
      <c r="F2">
        <f>CON_2012_Distribution_Expend</f>
        <v>146618</v>
      </c>
      <c r="G2">
        <f>CON_2012_Distribution_MWH</f>
        <v>0</v>
      </c>
      <c r="H2">
        <f>CON_2012_Expenditures</f>
        <v>10055014</v>
      </c>
      <c r="I2">
        <f>CON_2012_Industrial_Expend</f>
        <v>2451122</v>
      </c>
      <c r="J2">
        <f>CON_2012_Industrial_MWH</f>
        <v>12738.395699999999</v>
      </c>
      <c r="K2">
        <f>CON_2012_MWH</f>
        <v>50872.474200000011</v>
      </c>
      <c r="L2">
        <f>CON_2012_NEEA_Expend</f>
        <v>1218412</v>
      </c>
      <c r="M2">
        <f>CON_2012_NEEA_MWH</f>
        <v>15154.037</v>
      </c>
      <c r="N2">
        <f>CON_2012_OtherSector1_Expend</f>
        <v>0</v>
      </c>
      <c r="O2">
        <f>CON_2012_OtherSector1_MWH</f>
        <v>0</v>
      </c>
      <c r="P2">
        <f>CON_2012_OtherSector2_Expend</f>
        <v>0</v>
      </c>
      <c r="Q2">
        <f>CON_2012_OtherSector2_MWH</f>
        <v>0</v>
      </c>
      <c r="R2">
        <f>CON_2012_Production_Expend</f>
        <v>231495</v>
      </c>
      <c r="S2">
        <f>CON_2012_Production_MWH</f>
        <v>23.593499999999999</v>
      </c>
      <c r="T2">
        <f>CON_2012_Program1_Expend</f>
        <v>252946</v>
      </c>
      <c r="U2">
        <f>CON_2012_Program2_Expend</f>
        <v>-1836</v>
      </c>
      <c r="V2">
        <f>CON_2012_Residential_Expend</f>
        <v>2088600</v>
      </c>
      <c r="W2">
        <f>CON_2012_Residential_MWH</f>
        <v>9515.9599999999991</v>
      </c>
      <c r="X2">
        <f>CON_2013_Agriculture_Expend</f>
        <v>72675</v>
      </c>
      <c r="Y2">
        <f>CON_2013_Agriculture_MWH</f>
        <v>657.74800000000005</v>
      </c>
      <c r="Z2">
        <f>CON_2013_Commercial_Expend</f>
        <v>2022455</v>
      </c>
      <c r="AA2">
        <f>CON_2013_Commercial_MWH</f>
        <v>8053.9650000000001</v>
      </c>
      <c r="AB2">
        <f>CON_2013_Distribution_Expend</f>
        <v>0</v>
      </c>
      <c r="AC2">
        <f>CON_2013_Distribution_MWH</f>
        <v>0</v>
      </c>
      <c r="AD2">
        <f>CON_2013_Expenditures</f>
        <v>9406515</v>
      </c>
      <c r="AE2">
        <f>CON_2013_Industrial_Expend</f>
        <v>2769830</v>
      </c>
      <c r="AF2">
        <f>CON_2013_Industrial_MWH</f>
        <v>20583.66</v>
      </c>
      <c r="AG2">
        <f>CON_2013_MWH</f>
        <v>61050.710799599998</v>
      </c>
      <c r="AH2">
        <f>CON_2013_NEEA_Expend</f>
        <v>1266576</v>
      </c>
      <c r="AI2">
        <f>CON_2013_NEEA_MWH</f>
        <v>14651.941000000001</v>
      </c>
      <c r="AJ2">
        <f>CON_2013_OtherSector1_Expend</f>
        <v>0</v>
      </c>
      <c r="AK2">
        <f>CON_2013_OtherSector1_MWH</f>
        <v>0</v>
      </c>
      <c r="AL2">
        <f>CON_2013_OtherSector2_Expend</f>
        <v>0</v>
      </c>
      <c r="AM2">
        <f>CON_2013_OtherSector2_MWH</f>
        <v>0</v>
      </c>
      <c r="AN2">
        <f>CON_2013_Production_Expend</f>
        <v>0</v>
      </c>
      <c r="AO2">
        <f>CON_2013_Production_MWH</f>
        <v>55.331799599999997</v>
      </c>
      <c r="AP2">
        <f>CON_2013_Program1_Expend</f>
        <v>76104</v>
      </c>
      <c r="AQ2">
        <f>CON_2013_Program2_Expend</f>
        <v>0</v>
      </c>
      <c r="AR2">
        <f>CON_2013_Residential_Expend</f>
        <v>2402711</v>
      </c>
      <c r="AS2">
        <f>CON_2013_Residential_MWH</f>
        <v>17048.064999999999</v>
      </c>
      <c r="AT2" t="str">
        <f>CON_Contact_Name</f>
        <v>Natasha Siores</v>
      </c>
      <c r="AU2" t="str">
        <f>CON_Email</f>
        <v>natasha.siores@pacificorp.com</v>
      </c>
      <c r="AV2" t="str">
        <f>CON_Phone</f>
        <v>(503) 813-6583</v>
      </c>
      <c r="AW2" t="str">
        <f>CON_Potential_2012_2021</f>
        <v>399,000 to 402,031</v>
      </c>
      <c r="AX2">
        <f>CON_Potential_2014_2023</f>
        <v>391777</v>
      </c>
      <c r="AY2" t="str">
        <f>CON_Report_Date</f>
        <v>6/30/2014 Revised</v>
      </c>
      <c r="AZ2" t="str">
        <f>CON_Target_2012_2013</f>
        <v>76,291 to 79,322</v>
      </c>
      <c r="BA2">
        <f>CON_Target_2014_2015</f>
        <v>74703</v>
      </c>
      <c r="BB2" t="str">
        <f>CON_Utility_Name</f>
        <v>PacifiCorp (dba Pacific Power)</v>
      </c>
      <c r="BC2" t="str">
        <f>REN_Contact_Name</f>
        <v>Natasha Siores</v>
      </c>
      <c r="BD2" t="str">
        <f>REN_Email</f>
        <v>natasha.siores@pacificorp.com</v>
      </c>
      <c r="BE2">
        <f>REN_ERR_ApprenticeLabor</f>
        <v>0</v>
      </c>
      <c r="BF2">
        <f>REN_ERR_Biodiesel</f>
        <v>0</v>
      </c>
      <c r="BG2">
        <f>REN_ERR_Biomass</f>
        <v>0</v>
      </c>
      <c r="BH2">
        <f>REN_ERR_Geothermal</f>
        <v>0</v>
      </c>
      <c r="BI2">
        <f>REN_ERR_LandfillGas</f>
        <v>0</v>
      </c>
      <c r="BJ2">
        <f>REN_ERR_SewageGas</f>
        <v>0</v>
      </c>
      <c r="BK2">
        <f>REN_ERR_Solar</f>
        <v>0</v>
      </c>
      <c r="BL2">
        <f>REN_ERR_Water</f>
        <v>2525.7607567374002</v>
      </c>
      <c r="BM2">
        <f>REN_ERR_Wind</f>
        <v>0</v>
      </c>
      <c r="BN2">
        <f>REN_ERR_WOT</f>
        <v>0</v>
      </c>
      <c r="BO2">
        <f>REN_Expenditure_Amount_2014</f>
        <v>2083923.7079785783</v>
      </c>
      <c r="BP2">
        <f>REN_Expenditure_Percent_2014</f>
        <v>6.4907618919964718E-3</v>
      </c>
      <c r="BQ2">
        <f>REN_Load_2012</f>
        <v>4041897.855</v>
      </c>
      <c r="BR2">
        <f>REN_Load_2013</f>
        <v>4092687.9720000001</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119492.988952</v>
      </c>
      <c r="CB2">
        <f>REN_REC_WOT</f>
        <v>0</v>
      </c>
      <c r="CC2">
        <f>REN_RetailRevenueRequirement_2014</f>
        <v>321059953</v>
      </c>
      <c r="CD2">
        <f>REN_Submittal_Date</f>
        <v>41789</v>
      </c>
      <c r="CE2">
        <f>REN_Total_2014</f>
        <v>122018.74970873741</v>
      </c>
      <c r="CF2" t="str">
        <f>REN_Utility_Name</f>
        <v>Pacific Power &amp; Light Company</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and Technology</TermName>
          <TermId xmlns="http://schemas.microsoft.com/office/infopath/2007/PartnerControls">43b76879-3ce9-450b-82c1-09e0fad106ad</TermId>
        </TermInfo>
        <TermInfo xmlns="http://schemas.microsoft.com/office/infopath/2007/PartnerControls">
          <TermName xmlns="http://schemas.microsoft.com/office/infopath/2007/PartnerControls">State Energy Office</TermName>
          <TermId xmlns="http://schemas.microsoft.com/office/infopath/2007/PartnerControls">a139cb90-38ff-40be-94b0-10864d67941e</TermId>
        </TermInfo>
        <TermInfo xmlns="http://schemas.microsoft.com/office/infopath/2007/PartnerControls">
          <TermName xmlns="http://schemas.microsoft.com/office/infopath/2007/PartnerControls">Electric Utilities</TermName>
          <TermId xmlns="http://schemas.microsoft.com/office/infopath/2007/PartnerControls">06344503-e39b-47b5-a8fa-c7183fd9f2d6</TermId>
        </TermInfo>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Value>13</Value>
      <Value>2</Value>
      <Value>22</Value>
    </TaxCatchAll>
    <BusinessUnit xmlns="63979cc8-f6b2-4ee6-8bed-630b6048d169">Energy Office</BusinessUnit>
    <PublishingExpirationDate xmlns="http://schemas.microsoft.com/sharepoint/v3" xsi:nil="true"/>
    <RoutingRuleDescription xmlns="http://schemas.microsoft.com/sharepoint/v3">EIA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purl.org/dc/elements/1.1/"/>
    <ds:schemaRef ds:uri="http://schemas.microsoft.com/office/2006/metadata/properties"/>
    <ds:schemaRef ds:uri="http://schemas.microsoft.com/sharepoint/v3"/>
    <ds:schemaRef ds:uri="http://schemas.microsoft.com/office/infopath/2007/PartnerControls"/>
    <ds:schemaRef ds:uri="http://schemas.microsoft.com/office/2006/documentManagement/types"/>
    <ds:schemaRef ds:uri="http://schemas.openxmlformats.org/package/2006/metadata/core-properties"/>
    <ds:schemaRef ds:uri="59db5950-9a61-4c09-b3e2-fe6d472fba04"/>
    <ds:schemaRef ds:uri="http://purl.org/dc/dcmitype/"/>
    <ds:schemaRef ds:uri="63979cc8-f6b2-4ee6-8bed-630b6048d169"/>
    <ds:schemaRef ds:uri="http://www.w3.org/XML/1998/namespace"/>
    <ds:schemaRef ds:uri="http://purl.org/dc/terms/"/>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7A52D82D-3803-40AB-BA49-2DF6CCB473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Glenn Blackmon</cp:lastModifiedBy>
  <cp:lastPrinted>2014-03-31T21:01:12Z</cp:lastPrinted>
  <dcterms:created xsi:type="dcterms:W3CDTF">2012-03-20T21:01:26Z</dcterms:created>
  <dcterms:modified xsi:type="dcterms:W3CDTF">2014-07-14T18:12:39Z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