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050" yWindow="-15" windowWidth="19095" windowHeight="11175" tabRatio="719" activeTab="3"/>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Report'!$A$1:$K$59</definedName>
    <definedName name="_xlnm.Print_Area" localSheetId="3">'Renewables Report'!$B$1:$O$113</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C31" i="18" l="1"/>
  <c r="H29" i="18"/>
  <c r="E29" i="18"/>
  <c r="G23" i="18"/>
  <c r="G29" i="18"/>
  <c r="D23" i="18"/>
  <c r="D29" i="18"/>
  <c r="H7" i="18"/>
  <c r="H8" i="18"/>
  <c r="E12" i="18"/>
  <c r="D12" i="18"/>
  <c r="C12" i="18"/>
  <c r="N5" i="18"/>
  <c r="N5" i="21"/>
  <c r="N5" i="20"/>
  <c r="N5" i="16"/>
  <c r="A2" i="19"/>
  <c r="CF2" i="19"/>
  <c r="CD2" i="19"/>
  <c r="CC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K2" i="19"/>
  <c r="J2" i="19"/>
  <c r="I2" i="19"/>
  <c r="H2" i="19"/>
  <c r="G2" i="19"/>
  <c r="F2" i="19"/>
  <c r="E2" i="19"/>
  <c r="D2" i="19"/>
  <c r="C2" i="19"/>
  <c r="N13" i="16"/>
  <c r="BP2" i="19"/>
  <c r="C18" i="16"/>
  <c r="BL2" i="19"/>
  <c r="D18" i="16"/>
  <c r="BM2" i="19"/>
  <c r="E18" i="16"/>
  <c r="BK2" i="19"/>
  <c r="F18" i="16"/>
  <c r="BH2" i="19"/>
  <c r="G18" i="16"/>
  <c r="BI2" i="19"/>
  <c r="H18" i="16"/>
  <c r="BN2" i="19"/>
  <c r="I18" i="16"/>
  <c r="BJ2" i="19"/>
  <c r="J18" i="16"/>
  <c r="BF2" i="19"/>
  <c r="K18" i="16"/>
  <c r="BG2" i="19"/>
  <c r="L18" i="16"/>
  <c r="BE2" i="19"/>
  <c r="M19" i="16"/>
  <c r="BV2" i="19"/>
  <c r="M20" i="16"/>
  <c r="F98" i="16"/>
  <c r="L19" i="16"/>
  <c r="BS2" i="19"/>
  <c r="F66" i="16"/>
  <c r="F36" i="16"/>
  <c r="K19" i="16"/>
  <c r="BU2" i="19"/>
  <c r="J19" i="16"/>
  <c r="BT2" i="19"/>
  <c r="I19" i="16"/>
  <c r="BY2" i="19"/>
  <c r="H19" i="16"/>
  <c r="CB2" i="19"/>
  <c r="G19" i="16"/>
  <c r="BX2" i="19"/>
  <c r="F19" i="16"/>
  <c r="BW2" i="19"/>
  <c r="E19" i="16"/>
  <c r="BZ2" i="19"/>
  <c r="D19" i="16"/>
  <c r="CA2" i="19"/>
  <c r="C20" i="16"/>
  <c r="N7" i="16"/>
  <c r="F20" i="16"/>
  <c r="J20" i="16"/>
  <c r="E20" i="16"/>
  <c r="G20" i="16"/>
  <c r="I20" i="16"/>
  <c r="H20" i="16"/>
  <c r="L20" i="16"/>
  <c r="D20" i="16"/>
  <c r="K20" i="16"/>
  <c r="N8" i="16"/>
  <c r="CE2" i="19"/>
  <c r="B2" i="19"/>
</calcChain>
</file>

<file path=xl/sharedStrings.xml><?xml version="1.0" encoding="utf-8"?>
<sst xmlns="http://schemas.openxmlformats.org/spreadsheetml/2006/main" count="337" uniqueCount="243">
  <si>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</si>
  <si>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</si>
  <si>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</si>
  <si>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</si>
  <si>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</si>
  <si>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</si>
  <si>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</si>
  <si>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</si>
  <si>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</si>
  <si>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</si>
  <si>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</si>
  <si>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</si>
  <si>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</si>
  <si>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</si>
  <si>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</si>
  <si>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</si>
  <si>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</si>
  <si>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</si>
  <si>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</si>
  <si>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</si>
  <si>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</si>
  <si>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</si>
  <si>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</si>
  <si>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</si>
  <si>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</si>
  <si>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</si>
  <si>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</si>
  <si>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</si>
  <si>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</si>
  <si>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</si>
  <si>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</si>
  <si>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</si>
  <si>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</si>
  <si>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</si>
  <si>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</si>
  <si>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</si>
  <si>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</si>
  <si>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</si>
  <si>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</si>
  <si>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</si>
  <si>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</si>
  <si>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</si>
  <si>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</si>
  <si>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</si>
  <si>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</si>
  <si>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</si>
  <si>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</si>
  <si>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</si>
  <si>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</si>
  <si>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</si>
  <si>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</si>
  <si>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</si>
  <si>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</si>
  <si>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</si>
  <si>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</si>
  <si>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</si>
  <si>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</si>
  <si>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</si>
  <si>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</si>
  <si>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</si>
  <si>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</si>
  <si>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</si>
  <si>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</si>
  <si>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</si>
  <si>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</si>
  <si>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</si>
  <si>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</si>
  <si>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</si>
  <si>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</si>
  <si>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</si>
  <si>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</si>
  <si>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</si>
  <si>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</si>
  <si>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</si>
  <si>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</si>
  <si>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</si>
  <si>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</si>
  <si>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</si>
  <si>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</si>
  <si>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</si>
  <si>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</si>
  <si>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</si>
  <si>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</si>
  <si>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</si>
  <si>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</si>
  <si>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</si>
  <si>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</si>
  <si>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</si>
  <si>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</si>
  <si>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</si>
  <si>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</si>
  <si>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</si>
  <si>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</si>
  <si>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</si>
  <si>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</si>
  <si>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</si>
  <si>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</si>
  <si>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</si>
  <si>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</si>
  <si>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</si>
  <si>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</si>
  <si>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</si>
  <si>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</si>
  <si>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</si>
  <si>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</si>
  <si>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</si>
  <si>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</si>
  <si>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</si>
  <si>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</si>
  <si>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</si>
  <si>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</si>
  <si>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</si>
  <si>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</si>
  <si>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</si>
  <si>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</si>
  <si>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</si>
  <si>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</si>
  <si>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</si>
  <si>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</si>
  <si>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</si>
  <si>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</si>
  <si>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</si>
  <si>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</si>
  <si>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</si>
  <si>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</si>
  <si>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</si>
  <si>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</si>
  <si>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</si>
  <si>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</si>
  <si>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</si>
  <si>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</si>
  <si>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</si>
  <si>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</si>
  <si>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</si>
  <si>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</si>
  <si>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</si>
  <si>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</si>
  <si>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</si>
  <si>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</si>
  <si>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</si>
  <si>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</si>
  <si>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</si>
  <si>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</si>
  <si>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</si>
  <si>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</si>
  <si>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</si>
  <si>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</si>
  <si>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</si>
  <si>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</si>
  <si>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</si>
  <si>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</si>
  <si>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</si>
  <si>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</si>
  <si>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</si>
  <si>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</si>
  <si>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</si>
  <si>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</si>
  <si>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</si>
  <si>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</si>
  <si>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</si>
  <si>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</si>
  <si>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</si>
  <si>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</si>
  <si>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</si>
  <si>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</si>
  <si>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</si>
  <si>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</si>
  <si>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</si>
  <si>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</si>
  <si>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</si>
  <si>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</si>
  <si>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</si>
  <si>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</si>
  <si>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</si>
  <si>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</si>
  <si>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</si>
  <si>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</si>
  <si>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</si>
  <si>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</si>
  <si>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</si>
  <si>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</si>
  <si>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</si>
  <si>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</si>
  <si>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</si>
  <si>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</si>
  <si>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</si>
  <si>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</si>
  <si>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</si>
  <si>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</si>
  <si>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</si>
  <si>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</si>
  <si>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</si>
  <si>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</si>
  <si>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</si>
  <si>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</si>
  <si>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</si>
  <si>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</si>
  <si>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</si>
  <si>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</si>
  <si>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</si>
  <si>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</si>
  <si>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</si>
  <si>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</si>
  <si>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</si>
  <si>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</si>
  <si>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</si>
  <si>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</si>
  <si>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</si>
  <si>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</si>
  <si>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</si>
  <si>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</si>
  <si>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</si>
  <si>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</si>
  <si>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</si>
  <si>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</si>
  <si>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</si>
  <si>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</si>
  <si>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</si>
  <si>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</si>
  <si>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</si>
  <si>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Cowlitz County PUD</t>
  </si>
  <si>
    <t>Gary Huhta / Dir. Of Power Management</t>
  </si>
  <si>
    <t>360-577-7513</t>
  </si>
  <si>
    <t>ghuhta@cowlitzpud.org</t>
  </si>
  <si>
    <t>9 Canyon</t>
  </si>
  <si>
    <t xml:space="preserve">Harvest Wind </t>
  </si>
  <si>
    <t>White Creek</t>
  </si>
  <si>
    <t>Condon</t>
  </si>
  <si>
    <t>Klondike1</t>
  </si>
  <si>
    <t>Klondike3</t>
  </si>
  <si>
    <t>Stateline</t>
  </si>
  <si>
    <t>W1306</t>
  </si>
  <si>
    <t>W360</t>
  </si>
  <si>
    <t>W774</t>
  </si>
  <si>
    <t>W238</t>
  </si>
  <si>
    <t>W237</t>
  </si>
  <si>
    <t>W248</t>
  </si>
  <si>
    <t>W684</t>
  </si>
  <si>
    <t>W697</t>
  </si>
  <si>
    <t>Eugene Rosolie, Energy Efficiency Services</t>
  </si>
  <si>
    <t>360-577-7505</t>
  </si>
  <si>
    <t>erosolie@cowlitzpud.org</t>
  </si>
  <si>
    <t>Admin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</si>
</sst>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85">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1" fillId="4" borderId="21"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6" fillId="4" borderId="10" xfId="1" applyNumberFormat="1" applyFont="1" applyFill="1" applyBorder="1" applyAlignment="1">
      <alignment horizontal="center"/>
    </xf>
    <xf numFmtId="165" fontId="16"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9" fillId="2" borderId="29" xfId="0" applyFont="1" applyFill="1" applyBorder="1" applyAlignment="1">
      <alignment horizontal="right"/>
    </xf>
    <xf numFmtId="0" fontId="19" fillId="2" borderId="30" xfId="0" applyFont="1" applyFill="1" applyBorder="1" applyAlignment="1">
      <alignment horizontal="right"/>
    </xf>
    <xf numFmtId="0" fontId="19" fillId="2" borderId="0" xfId="0" applyFont="1" applyFill="1" applyAlignment="1">
      <alignment horizontal="right"/>
    </xf>
    <xf numFmtId="0" fontId="20" fillId="2" borderId="0" xfId="0" applyFont="1" applyFill="1"/>
    <xf numFmtId="0" fontId="20" fillId="2" borderId="0" xfId="0" applyFont="1" applyFill="1" applyBorder="1" applyAlignment="1"/>
    <xf numFmtId="0" fontId="19" fillId="2" borderId="0" xfId="0" applyFont="1" applyFill="1" applyBorder="1"/>
    <xf numFmtId="0" fontId="19"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2"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7" fillId="3" borderId="20" xfId="0" applyNumberFormat="1" applyFont="1" applyFill="1" applyBorder="1"/>
    <xf numFmtId="165" fontId="17" fillId="3" borderId="19" xfId="0" applyNumberFormat="1" applyFont="1" applyFill="1" applyBorder="1"/>
    <xf numFmtId="165" fontId="17" fillId="3" borderId="14" xfId="0" applyNumberFormat="1" applyFont="1" applyFill="1" applyBorder="1"/>
    <xf numFmtId="165" fontId="17"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4" fillId="2" borderId="0" xfId="0" applyFont="1" applyFill="1" applyBorder="1" applyAlignment="1">
      <alignment vertical="top" wrapText="1"/>
    </xf>
    <xf numFmtId="0" fontId="24" fillId="2" borderId="32" xfId="0" applyFont="1" applyFill="1" applyBorder="1" applyAlignment="1">
      <alignment vertical="top" wrapText="1"/>
    </xf>
    <xf numFmtId="0" fontId="20" fillId="2" borderId="0" xfId="0" applyFont="1" applyFill="1" applyBorder="1"/>
    <xf numFmtId="0" fontId="24"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5" fillId="0" borderId="42" xfId="0" applyFont="1" applyBorder="1" applyAlignment="1">
      <alignment vertical="center" wrapText="1"/>
    </xf>
    <xf numFmtId="0" fontId="25" fillId="0" borderId="43" xfId="0" applyFont="1" applyBorder="1" applyAlignment="1">
      <alignment vertical="center" wrapText="1"/>
    </xf>
    <xf numFmtId="0" fontId="19" fillId="0" borderId="43" xfId="0" applyFont="1" applyBorder="1" applyAlignment="1">
      <alignment vertical="center" wrapText="1"/>
    </xf>
    <xf numFmtId="0" fontId="19" fillId="0" borderId="44" xfId="0" applyFont="1" applyBorder="1" applyAlignment="1">
      <alignment vertical="center" wrapText="1"/>
    </xf>
    <xf numFmtId="0" fontId="27" fillId="8" borderId="45" xfId="0" applyFont="1" applyFill="1" applyBorder="1" applyAlignment="1">
      <alignment vertical="center"/>
    </xf>
    <xf numFmtId="0" fontId="27" fillId="8" borderId="46" xfId="0" applyFont="1" applyFill="1" applyBorder="1" applyAlignment="1">
      <alignment vertical="center"/>
    </xf>
    <xf numFmtId="0" fontId="29" fillId="8" borderId="43" xfId="0" applyFont="1" applyFill="1" applyBorder="1" applyAlignment="1">
      <alignment vertical="center" wrapText="1"/>
    </xf>
    <xf numFmtId="0" fontId="29" fillId="8" borderId="46" xfId="0" applyFont="1" applyFill="1" applyBorder="1" applyAlignment="1">
      <alignment vertical="center" wrapText="1"/>
    </xf>
    <xf numFmtId="0" fontId="27" fillId="8" borderId="43" xfId="0" applyFont="1" applyFill="1" applyBorder="1" applyAlignment="1">
      <alignment vertical="center" wrapText="1"/>
    </xf>
    <xf numFmtId="0" fontId="29" fillId="8" borderId="46" xfId="0" applyFont="1" applyFill="1" applyBorder="1" applyAlignment="1">
      <alignment vertical="center"/>
    </xf>
    <xf numFmtId="0" fontId="27" fillId="8" borderId="46" xfId="0" applyFont="1" applyFill="1" applyBorder="1" applyAlignment="1">
      <alignment vertical="center" wrapText="1"/>
    </xf>
    <xf numFmtId="0" fontId="25" fillId="8" borderId="46" xfId="0" applyFont="1" applyFill="1" applyBorder="1" applyAlignment="1">
      <alignment vertical="center"/>
    </xf>
    <xf numFmtId="0" fontId="27" fillId="8" borderId="43" xfId="0" applyFont="1" applyFill="1" applyBorder="1" applyAlignment="1">
      <alignment horizontal="left" vertical="center" wrapText="1" indent="5"/>
    </xf>
    <xf numFmtId="0" fontId="27" fillId="8" borderId="46" xfId="0" applyFont="1" applyFill="1" applyBorder="1" applyAlignment="1">
      <alignment horizontal="left" vertical="center" wrapText="1" indent="5"/>
    </xf>
    <xf numFmtId="0" fontId="29" fillId="8" borderId="43" xfId="0" applyFont="1" applyFill="1" applyBorder="1" applyAlignment="1">
      <alignment vertical="center"/>
    </xf>
    <xf numFmtId="0" fontId="31" fillId="8" borderId="43" xfId="0" applyFont="1" applyFill="1" applyBorder="1" applyAlignment="1">
      <alignment horizontal="left" vertical="center" wrapText="1" indent="5"/>
    </xf>
    <xf numFmtId="0" fontId="31" fillId="8" borderId="46" xfId="0" applyFont="1" applyFill="1" applyBorder="1" applyAlignment="1">
      <alignment horizontal="left" vertical="center" indent="5"/>
    </xf>
    <xf numFmtId="0" fontId="0" fillId="8" borderId="43" xfId="0" applyFill="1" applyBorder="1" applyAlignment="1">
      <alignment vertical="center" wrapText="1"/>
    </xf>
    <xf numFmtId="0" fontId="31" fillId="8" borderId="46" xfId="0" applyFont="1" applyFill="1" applyBorder="1" applyAlignment="1">
      <alignment horizontal="left" vertical="center" wrapText="1" indent="5"/>
    </xf>
    <xf numFmtId="0" fontId="30" fillId="8" borderId="46" xfId="0" applyFont="1" applyFill="1" applyBorder="1" applyAlignment="1">
      <alignment vertical="center" wrapText="1"/>
    </xf>
    <xf numFmtId="0" fontId="29" fillId="8" borderId="44" xfId="0" applyFont="1" applyFill="1" applyBorder="1" applyAlignment="1">
      <alignment vertical="center"/>
    </xf>
    <xf numFmtId="0" fontId="10" fillId="2" borderId="0" xfId="0" applyNumberFormat="1" applyFont="1" applyFill="1"/>
    <xf numFmtId="0" fontId="0" fillId="0" borderId="0" xfId="0" applyNumberFormat="1"/>
    <xf numFmtId="168" fontId="34" fillId="8" borderId="46" xfId="0" applyNumberFormat="1" applyFont="1" applyFill="1" applyBorder="1" applyAlignment="1">
      <alignment horizontal="left" vertical="center"/>
    </xf>
    <xf numFmtId="165" fontId="10" fillId="4" borderId="10" xfId="1" applyNumberFormat="1" applyFont="1" applyFill="1" applyBorder="1" applyAlignment="1">
      <alignment horizontal="center"/>
    </xf>
    <xf numFmtId="165" fontId="10" fillId="4" borderId="6" xfId="1" applyNumberFormat="1" applyFont="1" applyFill="1" applyBorder="1" applyAlignment="1">
      <alignment horizontal="center"/>
    </xf>
    <xf numFmtId="0" fontId="11" fillId="4" borderId="34" xfId="0" applyFont="1" applyFill="1" applyBorder="1"/>
    <xf numFmtId="165" fontId="11" fillId="5" borderId="47" xfId="1" applyNumberFormat="1" applyFont="1" applyFill="1" applyBorder="1" applyAlignment="1">
      <alignment horizontal="right"/>
    </xf>
    <xf numFmtId="165" fontId="10" fillId="4" borderId="12" xfId="1" applyNumberFormat="1" applyFont="1" applyFill="1" applyBorder="1" applyAlignment="1">
      <alignment horizontal="center"/>
    </xf>
    <xf numFmtId="165" fontId="10" fillId="3" borderId="37" xfId="1" applyNumberFormat="1" applyFont="1" applyFill="1" applyBorder="1" applyAlignment="1">
      <alignment horizontal="center"/>
    </xf>
    <xf numFmtId="165" fontId="10" fillId="3" borderId="13" xfId="1" applyNumberFormat="1" applyFont="1" applyFill="1" applyBorder="1" applyAlignment="1">
      <alignment horizontal="center"/>
    </xf>
    <xf numFmtId="0" fontId="11" fillId="4" borderId="48" xfId="0" applyFont="1" applyFill="1" applyBorder="1"/>
    <xf numFmtId="0" fontId="11" fillId="2" borderId="31" xfId="0" applyFont="1" applyFill="1" applyBorder="1" applyAlignment="1"/>
    <xf numFmtId="0" fontId="11" fillId="2" borderId="40" xfId="0" applyFont="1" applyFill="1" applyBorder="1" applyAlignment="1">
      <alignment horizontal="center"/>
    </xf>
    <xf numFmtId="0" fontId="11" fillId="2" borderId="32"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vertical="center"/>
    </xf>
    <xf numFmtId="168" fontId="12" fillId="5" borderId="14" xfId="0" applyNumberFormat="1" applyFont="1" applyFill="1" applyBorder="1" applyAlignment="1">
      <alignment horizontal="center" vertical="center"/>
    </xf>
    <xf numFmtId="168" fontId="10" fillId="5" borderId="14" xfId="0" applyNumberFormat="1" applyFont="1" applyFill="1" applyBorder="1" applyAlignment="1">
      <alignment horizontal="center" vertical="center"/>
    </xf>
    <xf numFmtId="0" fontId="11" fillId="5" borderId="14" xfId="0" applyFont="1" applyFill="1" applyBorder="1" applyAlignment="1">
      <alignment horizontal="center"/>
    </xf>
    <xf numFmtId="0" fontId="10" fillId="5" borderId="14" xfId="0" applyFont="1" applyFill="1" applyBorder="1" applyAlignment="1">
      <alignment horizontal="center"/>
    </xf>
    <xf numFmtId="0" fontId="10" fillId="5" borderId="14" xfId="0" applyFont="1" applyFill="1" applyBorder="1" applyAlignment="1">
      <alignment horizontal="center" vertical="center"/>
    </xf>
    <xf numFmtId="0" fontId="9" fillId="5" borderId="15" xfId="3" applyFill="1" applyBorder="1" applyAlignment="1" applyProtection="1">
      <alignment horizontal="center" vertical="center"/>
    </xf>
    <xf numFmtId="0" fontId="10" fillId="5" borderId="15" xfId="0" applyFont="1" applyFill="1" applyBorder="1" applyAlignment="1">
      <alignment horizontal="center" vertical="center"/>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8"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right"/>
    </xf>
    <xf numFmtId="168" fontId="10" fillId="4" borderId="14" xfId="0" applyNumberFormat="1" applyFont="1" applyFill="1" applyBorder="1" applyAlignment="1">
      <alignment horizontal="right"/>
    </xf>
    <xf numFmtId="0" fontId="10" fillId="4" borderId="14" xfId="0" applyFont="1" applyFill="1" applyBorder="1" applyAlignment="1">
      <alignment horizontal="right"/>
    </xf>
    <xf numFmtId="0" fontId="9" fillId="4" borderId="15" xfId="3" applyFill="1" applyBorder="1" applyAlignment="1" applyProtection="1">
      <alignment horizontal="right"/>
    </xf>
    <xf numFmtId="0" fontId="10" fillId="4" borderId="15" xfId="0" applyFont="1" applyFill="1" applyBorder="1" applyAlignment="1">
      <alignment horizontal="righ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0</xdr:col>
      <xdr:colOff>206374</xdr:colOff>
      <xdr:row>46</xdr:row>
      <xdr:rowOff>1</xdr:rowOff>
    </xdr:from>
    <xdr:to>
      <xdr:col>10</xdr:col>
      <xdr:colOff>47624</xdr:colOff>
      <xdr:row>55</xdr:row>
      <xdr:rowOff>0</xdr:rowOff>
    </xdr:to>
    <xdr:sp macro="" textlink="">
      <xdr:nvSpPr>
        <xdr:cNvPr id="3" name="TextBox 2"/>
        <xdr:cNvSpPr txBox="1"/>
      </xdr:nvSpPr>
      <xdr:spPr>
        <a:xfrm>
          <a:off x="206374" y="9652001"/>
          <a:ext cx="8334375" cy="1428749"/>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1</xdr:col>
      <xdr:colOff>9525</xdr:colOff>
      <xdr:row>33</xdr:row>
      <xdr:rowOff>31751</xdr:rowOff>
    </xdr:from>
    <xdr:to>
      <xdr:col>9</xdr:col>
      <xdr:colOff>638175</xdr:colOff>
      <xdr:row>44</xdr:row>
      <xdr:rowOff>152401</xdr:rowOff>
    </xdr:to>
    <xdr:sp macro="" textlink="">
      <xdr:nvSpPr>
        <xdr:cNvPr id="5" name="TextBox 4"/>
        <xdr:cNvSpPr txBox="1"/>
      </xdr:nvSpPr>
      <xdr:spPr>
        <a:xfrm>
          <a:off x="219075" y="7223126"/>
          <a:ext cx="816292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Public Utility District No. 1 of Cowlitz County, WA (Cowlitz) engaged Global Energy Partners (Global) to conduct a Conservation Potential Assessment (CPA) study in accordance with Washington I-937. The study used 2010 as the base year and then developed potential estimates for the period 2012-2021. This study represents an update to the first CPA conducted by Global for Cowlitz in 2009.</a:t>
          </a:r>
        </a:p>
        <a:p>
          <a:endParaRPr lang="en-US" sz="1100">
            <a:solidFill>
              <a:schemeClr val="dk1"/>
            </a:solidFill>
            <a:latin typeface="+mn-lt"/>
            <a:ea typeface="+mn-ea"/>
            <a:cs typeface="+mn-cs"/>
          </a:endParaRPr>
        </a:p>
        <a:p>
          <a:r>
            <a:rPr lang="en-US" sz="1100" b="1">
              <a:solidFill>
                <a:schemeClr val="dk1"/>
              </a:solidFill>
              <a:latin typeface="+mn-lt"/>
              <a:ea typeface="+mn-ea"/>
              <a:cs typeface="+mn-cs"/>
            </a:rPr>
            <a:t>Study Objectives </a:t>
          </a:r>
        </a:p>
        <a:p>
          <a:r>
            <a:rPr lang="en-US" sz="1100">
              <a:solidFill>
                <a:schemeClr val="dk1"/>
              </a:solidFill>
              <a:latin typeface="+mn-lt"/>
              <a:ea typeface="+mn-ea"/>
              <a:cs typeface="+mn-cs"/>
            </a:rPr>
            <a:t>The key study objectives included:</a:t>
          </a:r>
        </a:p>
        <a:p>
          <a:r>
            <a:rPr lang="en-US" sz="1100">
              <a:solidFill>
                <a:schemeClr val="dk1"/>
              </a:solidFill>
              <a:latin typeface="+mn-lt"/>
              <a:ea typeface="+mn-ea"/>
              <a:cs typeface="+mn-cs"/>
            </a:rPr>
            <a:t>Conduct a conservation potential study for electricity for Cowlitz’s service territory. The study accounts for:</a:t>
          </a:r>
        </a:p>
        <a:p>
          <a:r>
            <a:rPr lang="en-US" sz="1100">
              <a:solidFill>
                <a:schemeClr val="dk1"/>
              </a:solidFill>
              <a:latin typeface="+mn-lt"/>
              <a:ea typeface="+mn-ea"/>
              <a:cs typeface="+mn-cs"/>
            </a:rPr>
            <a:t>Impacts of existing Cowlitz DSM programs</a:t>
          </a:r>
        </a:p>
        <a:p>
          <a:r>
            <a:rPr lang="en-US" sz="1100">
              <a:solidFill>
                <a:schemeClr val="dk1"/>
              </a:solidFill>
              <a:latin typeface="+mn-lt"/>
              <a:ea typeface="+mn-ea"/>
              <a:cs typeface="+mn-cs"/>
            </a:rPr>
            <a:t>Cowlitz’s load forecasts </a:t>
          </a:r>
        </a:p>
        <a:p>
          <a:r>
            <a:rPr lang="en-US" sz="1100">
              <a:solidFill>
                <a:schemeClr val="dk1"/>
              </a:solidFill>
              <a:latin typeface="+mn-lt"/>
              <a:ea typeface="+mn-ea"/>
              <a:cs typeface="+mn-cs"/>
            </a:rPr>
            <a:t>Impacts of codes and standards</a:t>
          </a:r>
        </a:p>
        <a:p>
          <a:r>
            <a:rPr lang="en-US" sz="1100">
              <a:solidFill>
                <a:schemeClr val="dk1"/>
              </a:solidFill>
              <a:latin typeface="+mn-lt"/>
              <a:ea typeface="+mn-ea"/>
              <a:cs typeface="+mn-cs"/>
            </a:rPr>
            <a:t>Technology developments and innovation</a:t>
          </a:r>
        </a:p>
        <a:p>
          <a:r>
            <a:rPr lang="en-US" sz="1100">
              <a:solidFill>
                <a:schemeClr val="dk1"/>
              </a:solidFill>
              <a:latin typeface="+mn-lt"/>
              <a:ea typeface="+mn-ea"/>
              <a:cs typeface="+mn-cs"/>
            </a:rPr>
            <a:t>The economy and energy prices</a:t>
          </a:r>
        </a:p>
        <a:p>
          <a:r>
            <a:rPr lang="en-US" sz="1100">
              <a:solidFill>
                <a:schemeClr val="dk1"/>
              </a:solidFill>
              <a:latin typeface="+mn-lt"/>
              <a:ea typeface="+mn-ea"/>
              <a:cs typeface="+mn-cs"/>
            </a:rPr>
            <a:t>Assess and analyze cost-effective conservation potential in accordance with the Northwest Power and Conservation Council’s Sixth Power Plan and Washington I-937 requirements.</a:t>
          </a:r>
        </a:p>
        <a:p>
          <a:r>
            <a:rPr lang="en-US" sz="1100">
              <a:solidFill>
                <a:schemeClr val="dk1"/>
              </a:solidFill>
              <a:latin typeface="+mn-lt"/>
              <a:ea typeface="+mn-ea"/>
              <a:cs typeface="+mn-cs"/>
            </a:rPr>
            <a:t>Analyze various market penetration rates associated with technical, economic, and achievable potential estimates.</a:t>
          </a:r>
        </a:p>
        <a:p>
          <a:r>
            <a:rPr lang="en-US" sz="1100">
              <a:solidFill>
                <a:schemeClr val="dk1"/>
              </a:solidFill>
              <a:latin typeface="+mn-lt"/>
              <a:ea typeface="+mn-ea"/>
              <a:cs typeface="+mn-cs"/>
            </a:rPr>
            <a:t>Provide Cowlitz’s planners with insight into energy use trends and conservation potential as they design and implement energy conservation programs in the coming years. </a:t>
          </a:r>
        </a:p>
        <a:p>
          <a:endParaRPr lang="en-US" sz="1100">
            <a:solidFill>
              <a:schemeClr val="dk1"/>
            </a:solidFill>
            <a:latin typeface="+mn-lt"/>
            <a:ea typeface="+mn-ea"/>
            <a:cs typeface="+mn-cs"/>
          </a:endParaRPr>
        </a:p>
        <a:p>
          <a:r>
            <a:rPr lang="en-US" sz="1100">
              <a:solidFill>
                <a:schemeClr val="dk1"/>
              </a:solidFill>
              <a:latin typeface="+mn-lt"/>
              <a:ea typeface="+mn-ea"/>
              <a:cs typeface="+mn-cs"/>
            </a:rPr>
            <a:t>To execute this project, Global took the following steps, which are also shown in Figure ES-1.</a:t>
          </a:r>
        </a:p>
        <a:p>
          <a:pPr lvl="0"/>
          <a:r>
            <a:rPr lang="en-US" sz="1100">
              <a:solidFill>
                <a:schemeClr val="dk1"/>
              </a:solidFill>
              <a:latin typeface="+mn-lt"/>
              <a:ea typeface="+mn-ea"/>
              <a:cs typeface="+mn-cs"/>
            </a:rPr>
            <a:t>Perform a market characterization to describe sector-level electricity use for the residential and commercial sectors for the base year (2010). This included using utility data and secondary data from sources such as NEEA and EIA.</a:t>
          </a:r>
        </a:p>
        <a:p>
          <a:r>
            <a:rPr lang="en-US" sz="1100">
              <a:solidFill>
                <a:schemeClr val="dk1"/>
              </a:solidFill>
              <a:latin typeface="+mn-lt"/>
              <a:ea typeface="+mn-ea"/>
              <a:cs typeface="+mn-cs"/>
            </a:rPr>
            <a:t>Utilize secondary sources to understand how Cowlitz’s residential customers currently use electricity. Combining this information with the market characterization, we developed energy market profiles that describe energy use by segment and end use for the base year, 2010.</a:t>
          </a:r>
        </a:p>
        <a:p>
          <a:r>
            <a:rPr lang="en-US" sz="1100">
              <a:solidFill>
                <a:schemeClr val="dk1"/>
              </a:solidFill>
              <a:latin typeface="+mn-lt"/>
              <a:ea typeface="+mn-ea"/>
              <a:cs typeface="+mn-cs"/>
            </a:rPr>
            <a:t>Develop a baseline electricity forecast by sector, segment and end use for 2012 through 2021.</a:t>
          </a:r>
        </a:p>
        <a:p>
          <a:r>
            <a:rPr lang="en-US" sz="1100">
              <a:solidFill>
                <a:schemeClr val="dk1"/>
              </a:solidFill>
              <a:latin typeface="+mn-lt"/>
              <a:ea typeface="+mn-ea"/>
              <a:cs typeface="+mn-cs"/>
            </a:rPr>
            <a:t>Identify and analyze energy-efficiency measures appropriate for Cowlitz.</a:t>
          </a:r>
        </a:p>
        <a:p>
          <a:r>
            <a:rPr lang="en-US" sz="1100">
              <a:solidFill>
                <a:schemeClr val="dk1"/>
              </a:solidFill>
              <a:latin typeface="+mn-lt"/>
              <a:ea typeface="+mn-ea"/>
              <a:cs typeface="+mn-cs"/>
            </a:rPr>
            <a:t>Estimate three levels of energy-efficiency potential for the residential and commercial sectors, </a:t>
          </a:r>
          <a:r>
            <a:rPr lang="en-US" sz="1100" i="1">
              <a:solidFill>
                <a:schemeClr val="dk1"/>
              </a:solidFill>
              <a:latin typeface="+mn-lt"/>
              <a:ea typeface="+mn-ea"/>
              <a:cs typeface="+mn-cs"/>
            </a:rPr>
            <a:t>Technical, Economic,</a:t>
          </a:r>
          <a:r>
            <a:rPr lang="en-US" sz="1100">
              <a:solidFill>
                <a:schemeClr val="dk1"/>
              </a:solidFill>
              <a:latin typeface="+mn-lt"/>
              <a:ea typeface="+mn-ea"/>
              <a:cs typeface="+mn-cs"/>
            </a:rPr>
            <a:t> </a:t>
          </a:r>
          <a:r>
            <a:rPr lang="en-US" sz="1100" i="1">
              <a:solidFill>
                <a:schemeClr val="dk1"/>
              </a:solidFill>
              <a:latin typeface="+mn-lt"/>
              <a:ea typeface="+mn-ea"/>
              <a:cs typeface="+mn-cs"/>
            </a:rPr>
            <a:t>and Achievable</a:t>
          </a:r>
          <a:r>
            <a:rPr lang="en-US" sz="1100">
              <a:solidFill>
                <a:schemeClr val="dk1"/>
              </a:solidFill>
              <a:latin typeface="+mn-lt"/>
              <a:ea typeface="+mn-ea"/>
              <a:cs typeface="+mn-cs"/>
            </a:rPr>
            <a:t>.</a:t>
          </a:r>
        </a:p>
        <a:p>
          <a:r>
            <a:rPr lang="en-US" sz="1100">
              <a:solidFill>
                <a:schemeClr val="dk1"/>
              </a:solidFill>
              <a:latin typeface="+mn-lt"/>
              <a:ea typeface="+mn-ea"/>
              <a:cs typeface="+mn-cs"/>
            </a:rPr>
            <a:t>Since the industrial sector is dominated by a few, very large customers, a different approach was used. Global conducted onsite interviews with the major customers to identify appropriate measures to conserve energy and take into account actions recently taken. This process identified specific conservation steps that the customer could potentially adopt over the next 10 years. The Council’s ramp rates were then applied to the technical potential to develop achievable potential.</a:t>
          </a:r>
        </a:p>
        <a:p>
          <a:endParaRPr lang="en-US" sz="1100">
            <a:solidFill>
              <a:schemeClr val="dk1"/>
            </a:solidFill>
            <a:latin typeface="+mn-lt"/>
            <a:ea typeface="+mn-ea"/>
            <a:cs typeface="+mn-cs"/>
          </a:endParaRPr>
        </a:p>
        <a:p>
          <a:endParaRPr lang="en-US" sz="1100"/>
        </a:p>
      </xdr:txBody>
    </xdr:sp>
    <xdr:clientData/>
  </xdr:twoCellAnchor>
  <xdr:twoCellAnchor>
    <xdr:from>
      <xdr:col>1</xdr:col>
      <xdr:colOff>127000</xdr:colOff>
      <xdr:row>48</xdr:row>
      <xdr:rowOff>79376</xdr:rowOff>
    </xdr:from>
    <xdr:to>
      <xdr:col>9</xdr:col>
      <xdr:colOff>600075</xdr:colOff>
      <xdr:row>53</xdr:row>
      <xdr:rowOff>142875</xdr:rowOff>
    </xdr:to>
    <xdr:sp macro="" textlink="">
      <xdr:nvSpPr>
        <xdr:cNvPr id="6" name="TextBox 5"/>
        <xdr:cNvSpPr txBox="1"/>
      </xdr:nvSpPr>
      <xdr:spPr>
        <a:xfrm>
          <a:off x="333375" y="10048876"/>
          <a:ext cx="8013700" cy="857249"/>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Executive Summary of  2012-2021 Conservation Potential Assessment is available at:</a:t>
          </a:r>
        </a:p>
        <a:p>
          <a:endParaRPr lang="en-US" sz="1100"/>
        </a:p>
        <a:p>
          <a:r>
            <a:rPr lang="en-US" sz="1100"/>
            <a:t>http://www.cowlitzpud.org/pdf/Cowlitz%20CPA%20Report%20Exec%20Summary.pdf</a:t>
          </a:r>
        </a:p>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7" name="TextBox 6"/>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The investment in renewables and RECs as a percent of retail revenue requirement was calculated by dividing the amount invested in incremental cost of eligible renewable resources and the cost of RECs of $5,675,433 by the budgeted total annual retail revenue requirement for 2014 of $251,366,397.</a:t>
          </a:r>
        </a:p>
        <a:p>
          <a:r>
            <a:rPr lang="en-US"/>
            <a:t> </a:t>
          </a:r>
        </a:p>
        <a:p>
          <a:r>
            <a:rPr lang="en-US"/>
            <a:t>The incremental cost of eligible renewable resources and the cost of RECs was calculated by multiplying the average of each of the project costs for each resource for each month when renewable attributes from such resource were used to meet the 3% requirement by the energy produced for each such resource in each month, then subtracting the average of the market value of the null power.  The generation weighted average of the ICE daily index was used to calculate the value of the null power for each resource.  The incremental costs for each of the resources used to meet the 3% requirement were then summed to calculate the total incremental cost.</a:t>
          </a:r>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erosolie@cowlitz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ghuhta@cowlitz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heetViews>
  <sheetFormatPr defaultRowHeight="15" x14ac:dyDescent="0.25"/>
  <cols>
    <col min="1" max="1" width="135.140625" customWidth="1"/>
    <col min="14" max="14" width="11.7109375" customWidth="1"/>
  </cols>
  <sheetData>
    <row r="1" spans="1:14" ht="18.75" x14ac:dyDescent="0.25">
      <c r="A1" s="116" t="s">
        <v>178</v>
      </c>
    </row>
    <row r="2" spans="1:14" x14ac:dyDescent="0.25">
      <c r="A2" s="135" t="s">
        <v>219</v>
      </c>
    </row>
    <row r="3" spans="1:14" x14ac:dyDescent="0.25">
      <c r="A3" s="117"/>
      <c r="N3" s="134"/>
    </row>
    <row r="4" spans="1:14" x14ac:dyDescent="0.25">
      <c r="A4" s="118" t="s">
        <v>179</v>
      </c>
    </row>
    <row r="5" spans="1:14" x14ac:dyDescent="0.25">
      <c r="A5" s="118" t="s">
        <v>180</v>
      </c>
      <c r="N5">
        <f>IF(REN_Load_2012+REN_Load_2013&gt;0,AVERAGE(REN_Load_2012,REN_Load_2013),0)</f>
        <v>5235246.2474951101</v>
      </c>
    </row>
    <row r="6" spans="1:14" x14ac:dyDescent="0.25">
      <c r="A6" s="119" t="s">
        <v>181</v>
      </c>
    </row>
    <row r="7" spans="1:14" x14ac:dyDescent="0.25">
      <c r="A7" s="117"/>
    </row>
    <row r="8" spans="1:14" ht="28.5" x14ac:dyDescent="0.25">
      <c r="A8" s="120" t="s">
        <v>182</v>
      </c>
    </row>
    <row r="9" spans="1:14" ht="28.5" x14ac:dyDescent="0.25">
      <c r="A9" s="120" t="s">
        <v>183</v>
      </c>
    </row>
    <row r="10" spans="1:14" x14ac:dyDescent="0.25">
      <c r="A10" s="120"/>
    </row>
    <row r="11" spans="1:14" x14ac:dyDescent="0.25">
      <c r="A11" s="121" t="s">
        <v>184</v>
      </c>
    </row>
    <row r="12" spans="1:14" x14ac:dyDescent="0.25">
      <c r="A12" s="117"/>
    </row>
    <row r="13" spans="1:14" ht="72.75" x14ac:dyDescent="0.25">
      <c r="A13" s="122" t="s">
        <v>185</v>
      </c>
    </row>
    <row r="14" spans="1:14" x14ac:dyDescent="0.25">
      <c r="A14" s="117"/>
    </row>
    <row r="15" spans="1:14" ht="29.25" x14ac:dyDescent="0.25">
      <c r="A15" s="119" t="s">
        <v>186</v>
      </c>
    </row>
    <row r="16" spans="1:14" x14ac:dyDescent="0.25">
      <c r="A16" s="122"/>
    </row>
    <row r="17" spans="1:1" x14ac:dyDescent="0.25">
      <c r="A17" s="117"/>
    </row>
    <row r="18" spans="1:1" ht="18.75" x14ac:dyDescent="0.25">
      <c r="A18" s="123" t="s">
        <v>187</v>
      </c>
    </row>
    <row r="19" spans="1:1" x14ac:dyDescent="0.25">
      <c r="A19" s="118" t="s">
        <v>188</v>
      </c>
    </row>
    <row r="20" spans="1:1" ht="28.5" x14ac:dyDescent="0.25">
      <c r="A20" s="124" t="s">
        <v>189</v>
      </c>
    </row>
    <row r="21" spans="1:1" x14ac:dyDescent="0.25">
      <c r="A21" s="125" t="s">
        <v>190</v>
      </c>
    </row>
    <row r="22" spans="1:1" x14ac:dyDescent="0.25">
      <c r="A22" s="117"/>
    </row>
    <row r="23" spans="1:1" x14ac:dyDescent="0.25">
      <c r="A23" s="126" t="s">
        <v>191</v>
      </c>
    </row>
    <row r="24" spans="1:1" ht="29.25" x14ac:dyDescent="0.25">
      <c r="A24" s="127" t="s">
        <v>192</v>
      </c>
    </row>
    <row r="25" spans="1:1" x14ac:dyDescent="0.25">
      <c r="A25" s="128" t="s">
        <v>193</v>
      </c>
    </row>
    <row r="26" spans="1:1" x14ac:dyDescent="0.25">
      <c r="A26" s="117"/>
    </row>
    <row r="27" spans="1:1" ht="43.5" x14ac:dyDescent="0.25">
      <c r="A27" s="118" t="s">
        <v>194</v>
      </c>
    </row>
    <row r="28" spans="1:1" x14ac:dyDescent="0.25">
      <c r="A28" s="129"/>
    </row>
    <row r="29" spans="1:1" ht="42.75" x14ac:dyDescent="0.25">
      <c r="A29" s="122" t="s">
        <v>195</v>
      </c>
    </row>
    <row r="30" spans="1:1" x14ac:dyDescent="0.25">
      <c r="A30" s="117"/>
    </row>
    <row r="31" spans="1:1" ht="43.5" x14ac:dyDescent="0.25">
      <c r="A31" s="119" t="s">
        <v>196</v>
      </c>
    </row>
    <row r="32" spans="1:1" x14ac:dyDescent="0.25">
      <c r="A32" s="117"/>
    </row>
    <row r="33" spans="1:1" ht="57.75" x14ac:dyDescent="0.25">
      <c r="A33" s="118" t="s">
        <v>197</v>
      </c>
    </row>
    <row r="34" spans="1:1" x14ac:dyDescent="0.25">
      <c r="A34" s="120"/>
    </row>
    <row r="35" spans="1:1" ht="28.5" x14ac:dyDescent="0.25">
      <c r="A35" s="120" t="s">
        <v>198</v>
      </c>
    </row>
    <row r="36" spans="1:1" x14ac:dyDescent="0.25">
      <c r="A36" s="127" t="s">
        <v>199</v>
      </c>
    </row>
    <row r="37" spans="1:1" x14ac:dyDescent="0.25">
      <c r="A37" s="127" t="s">
        <v>200</v>
      </c>
    </row>
    <row r="38" spans="1:1" x14ac:dyDescent="0.25">
      <c r="A38" s="130" t="s">
        <v>201</v>
      </c>
    </row>
    <row r="39" spans="1:1" x14ac:dyDescent="0.25">
      <c r="A39" s="117"/>
    </row>
    <row r="40" spans="1:1" ht="29.25" x14ac:dyDescent="0.25">
      <c r="A40" s="119" t="s">
        <v>202</v>
      </c>
    </row>
    <row r="41" spans="1:1" x14ac:dyDescent="0.25">
      <c r="A41" s="117"/>
    </row>
    <row r="42" spans="1:1" ht="18.75" x14ac:dyDescent="0.25">
      <c r="A42" s="123" t="s">
        <v>203</v>
      </c>
    </row>
    <row r="43" spans="1:1" ht="42.75" x14ac:dyDescent="0.25">
      <c r="A43" s="122" t="s">
        <v>204</v>
      </c>
    </row>
    <row r="44" spans="1:1" x14ac:dyDescent="0.25">
      <c r="A44" s="117"/>
    </row>
    <row r="45" spans="1:1" ht="43.5" x14ac:dyDescent="0.25">
      <c r="A45" s="119" t="s">
        <v>205</v>
      </c>
    </row>
    <row r="46" spans="1:1" x14ac:dyDescent="0.25">
      <c r="A46" s="117"/>
    </row>
    <row r="47" spans="1:1" ht="43.5" x14ac:dyDescent="0.25">
      <c r="A47" s="119" t="s">
        <v>206</v>
      </c>
    </row>
    <row r="48" spans="1:1" x14ac:dyDescent="0.25">
      <c r="A48" s="117"/>
    </row>
    <row r="49" spans="1:1" ht="43.5" x14ac:dyDescent="0.25">
      <c r="A49" s="119" t="s">
        <v>207</v>
      </c>
    </row>
    <row r="50" spans="1:1" x14ac:dyDescent="0.25">
      <c r="A50" s="117"/>
    </row>
    <row r="51" spans="1:1" x14ac:dyDescent="0.25">
      <c r="A51" s="118" t="s">
        <v>208</v>
      </c>
    </row>
    <row r="52" spans="1:1" ht="42.75" x14ac:dyDescent="0.25">
      <c r="A52" s="122" t="s">
        <v>209</v>
      </c>
    </row>
    <row r="53" spans="1:1" x14ac:dyDescent="0.25">
      <c r="A53" s="117"/>
    </row>
    <row r="54" spans="1:1" ht="57.75" x14ac:dyDescent="0.25">
      <c r="A54" s="131" t="s">
        <v>210</v>
      </c>
    </row>
    <row r="55" spans="1:1" x14ac:dyDescent="0.25">
      <c r="A55" s="117"/>
    </row>
    <row r="56" spans="1:1" ht="72" x14ac:dyDescent="0.25">
      <c r="A56" s="119" t="s">
        <v>211</v>
      </c>
    </row>
    <row r="57" spans="1:1" x14ac:dyDescent="0.25">
      <c r="A57" s="117"/>
    </row>
    <row r="58" spans="1:1" ht="57.75" x14ac:dyDescent="0.25">
      <c r="A58" s="119" t="s">
        <v>212</v>
      </c>
    </row>
    <row r="59" spans="1:1" x14ac:dyDescent="0.25">
      <c r="A59" s="117"/>
    </row>
    <row r="60" spans="1:1" x14ac:dyDescent="0.25">
      <c r="A60" s="118" t="s">
        <v>213</v>
      </c>
    </row>
    <row r="61" spans="1:1" ht="42.75" x14ac:dyDescent="0.25">
      <c r="A61" s="122" t="s">
        <v>214</v>
      </c>
    </row>
    <row r="62" spans="1:1" x14ac:dyDescent="0.25">
      <c r="A62" s="117"/>
    </row>
    <row r="63" spans="1:1" x14ac:dyDescent="0.25">
      <c r="A63" s="118" t="s">
        <v>215</v>
      </c>
    </row>
    <row r="64" spans="1:1" ht="42.75" x14ac:dyDescent="0.25">
      <c r="A64" s="122" t="s">
        <v>216</v>
      </c>
    </row>
    <row r="65" spans="1:1" x14ac:dyDescent="0.25">
      <c r="A65" s="117"/>
    </row>
    <row r="66" spans="1:1" ht="15.75" thickBot="1" x14ac:dyDescent="0.3">
      <c r="A66" s="132" t="s">
        <v>217</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12" t="s">
        <v>176</v>
      </c>
    </row>
    <row r="2" spans="1:14" ht="18.75" x14ac:dyDescent="0.25">
      <c r="A2" s="113"/>
    </row>
    <row r="3" spans="1:14" ht="57" x14ac:dyDescent="0.25">
      <c r="A3" s="114" t="s">
        <v>218</v>
      </c>
      <c r="N3" s="134"/>
    </row>
    <row r="4" spans="1:14" x14ac:dyDescent="0.25">
      <c r="A4" s="114"/>
    </row>
    <row r="5" spans="1:14" ht="29.25" thickBot="1" x14ac:dyDescent="0.3">
      <c r="A5" s="115" t="s">
        <v>177</v>
      </c>
      <c r="N5">
        <f>IF(REN_Load_2012+REN_Load_2013&gt;0,AVERAGE(REN_Load_2012,REN_Load_2013),0)</f>
        <v>5235246.2474951101</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51"/>
  <sheetViews>
    <sheetView view="pageBreakPreview" topLeftCell="A7" zoomScaleNormal="100" zoomScaleSheetLayoutView="100" workbookViewId="0">
      <selection activeCell="H29" sqref="H29"/>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81" t="s">
        <v>77</v>
      </c>
    </row>
    <row r="2" spans="1:14" ht="15" customHeight="1" x14ac:dyDescent="0.2">
      <c r="B2" s="2"/>
    </row>
    <row r="3" spans="1:14" ht="14.25" customHeight="1" thickBot="1" x14ac:dyDescent="0.25">
      <c r="B3" s="3" t="s">
        <v>4</v>
      </c>
      <c r="C3" s="149" t="s">
        <v>220</v>
      </c>
      <c r="D3" s="149"/>
      <c r="E3" s="149"/>
      <c r="G3" s="145" t="s">
        <v>85</v>
      </c>
      <c r="H3" s="145"/>
      <c r="I3" s="145"/>
      <c r="J3" s="145"/>
      <c r="N3" s="133"/>
    </row>
    <row r="4" spans="1:14" ht="15" customHeight="1" x14ac:dyDescent="0.2">
      <c r="B4" s="4" t="s">
        <v>84</v>
      </c>
      <c r="C4" s="150">
        <v>41790</v>
      </c>
      <c r="D4" s="151"/>
      <c r="E4" s="151"/>
      <c r="F4" s="16"/>
      <c r="H4" s="100" t="s">
        <v>81</v>
      </c>
      <c r="I4" s="99"/>
      <c r="J4" s="100" t="s">
        <v>82</v>
      </c>
    </row>
    <row r="5" spans="1:14" ht="15" customHeight="1" x14ac:dyDescent="0.2">
      <c r="B5" s="5" t="s">
        <v>83</v>
      </c>
      <c r="C5" s="152" t="s">
        <v>239</v>
      </c>
      <c r="D5" s="153"/>
      <c r="E5" s="153"/>
      <c r="F5" s="7"/>
      <c r="H5" s="98" t="s">
        <v>80</v>
      </c>
      <c r="J5" s="98" t="s">
        <v>80</v>
      </c>
      <c r="N5" s="1">
        <f>IF(REN_Load_2012+REN_Load_2013&gt;0,AVERAGE(REN_Load_2012,REN_Load_2013),0)</f>
        <v>5235246.2474951101</v>
      </c>
    </row>
    <row r="6" spans="1:14" ht="15" customHeight="1" x14ac:dyDescent="0.2">
      <c r="B6" s="5" t="s">
        <v>1</v>
      </c>
      <c r="C6" s="154" t="s">
        <v>240</v>
      </c>
      <c r="D6" s="154"/>
      <c r="E6" s="154"/>
      <c r="F6" s="7"/>
      <c r="G6" s="83" t="s">
        <v>66</v>
      </c>
      <c r="H6" s="84">
        <v>73584</v>
      </c>
      <c r="I6" s="83" t="s">
        <v>66</v>
      </c>
      <c r="J6" s="85">
        <v>56940</v>
      </c>
    </row>
    <row r="7" spans="1:14" ht="15" customHeight="1" x14ac:dyDescent="0.2">
      <c r="B7" s="5" t="s">
        <v>2</v>
      </c>
      <c r="C7" s="155" t="s">
        <v>241</v>
      </c>
      <c r="D7" s="156"/>
      <c r="E7" s="156"/>
      <c r="F7" s="7"/>
      <c r="G7" s="83" t="s">
        <v>67</v>
      </c>
      <c r="H7" s="86">
        <f>CON_2012_MWH+CON_2013_MWH</f>
        <v>158223.52765</v>
      </c>
    </row>
    <row r="8" spans="1:14" ht="15" customHeight="1" thickBot="1" x14ac:dyDescent="0.25">
      <c r="B8" s="5"/>
      <c r="C8" s="82"/>
      <c r="D8" s="7"/>
      <c r="E8" s="7"/>
      <c r="F8" s="7"/>
      <c r="G8" s="83" t="s">
        <v>68</v>
      </c>
      <c r="H8" s="87">
        <f>(H6-H7)</f>
        <v>-84639.527650000004</v>
      </c>
    </row>
    <row r="9" spans="1:14" s="7" customFormat="1" ht="13.5" thickTop="1" x14ac:dyDescent="0.2">
      <c r="B9" s="160" t="s">
        <v>69</v>
      </c>
      <c r="C9" s="160"/>
      <c r="D9" s="160"/>
      <c r="E9" s="160"/>
      <c r="F9" s="161"/>
    </row>
    <row r="10" spans="1:14" s="7" customFormat="1" x14ac:dyDescent="0.2">
      <c r="B10" s="162" t="s">
        <v>36</v>
      </c>
      <c r="C10" s="146"/>
      <c r="D10" s="146" t="s">
        <v>72</v>
      </c>
      <c r="E10" s="146"/>
    </row>
    <row r="11" spans="1:14" ht="52.5" customHeight="1" x14ac:dyDescent="0.2">
      <c r="B11" s="88" t="s">
        <v>75</v>
      </c>
      <c r="C11" s="17" t="s">
        <v>51</v>
      </c>
      <c r="D11" s="17" t="s">
        <v>74</v>
      </c>
      <c r="E11" s="89" t="s">
        <v>73</v>
      </c>
    </row>
    <row r="12" spans="1:14" ht="15" customHeight="1" x14ac:dyDescent="0.2">
      <c r="B12" s="139">
        <v>367920</v>
      </c>
      <c r="C12" s="90">
        <f>H6</f>
        <v>73584</v>
      </c>
      <c r="D12" s="90">
        <f>33*8760</f>
        <v>289080</v>
      </c>
      <c r="E12" s="91">
        <f>J6</f>
        <v>56940</v>
      </c>
    </row>
    <row r="13" spans="1:14" ht="15" customHeight="1" thickBot="1" x14ac:dyDescent="0.25">
      <c r="B13" s="7"/>
      <c r="C13" s="7"/>
      <c r="D13" s="7"/>
      <c r="E13" s="7"/>
      <c r="F13" s="7"/>
      <c r="G13" s="7"/>
      <c r="H13" s="7"/>
    </row>
    <row r="14" spans="1:14" ht="13.5" thickTop="1" x14ac:dyDescent="0.2">
      <c r="B14" s="144" t="s">
        <v>3</v>
      </c>
      <c r="C14" s="144"/>
      <c r="D14" s="144"/>
      <c r="E14" s="144"/>
      <c r="F14" s="144"/>
      <c r="G14" s="144"/>
      <c r="H14" s="144"/>
    </row>
    <row r="15" spans="1:14" ht="15" customHeight="1" x14ac:dyDescent="0.2">
      <c r="A15" s="7"/>
      <c r="B15" s="18"/>
      <c r="D15" s="146" t="s">
        <v>49</v>
      </c>
      <c r="E15" s="146"/>
      <c r="G15" s="146" t="s">
        <v>71</v>
      </c>
      <c r="H15" s="146"/>
    </row>
    <row r="16" spans="1:14" ht="30.75" customHeight="1" x14ac:dyDescent="0.2">
      <c r="A16" s="7"/>
      <c r="C16" s="19" t="s">
        <v>43</v>
      </c>
      <c r="D16" s="17" t="s">
        <v>7</v>
      </c>
      <c r="E16" s="17" t="s">
        <v>8</v>
      </c>
      <c r="G16" s="17" t="s">
        <v>7</v>
      </c>
      <c r="H16" s="17" t="s">
        <v>8</v>
      </c>
    </row>
    <row r="17" spans="1:8" ht="15" customHeight="1" x14ac:dyDescent="0.2">
      <c r="A17" s="7"/>
      <c r="C17" s="35" t="s">
        <v>9</v>
      </c>
      <c r="D17" s="92">
        <v>3734.3130499999997</v>
      </c>
      <c r="E17" s="103">
        <v>1087092</v>
      </c>
      <c r="G17" s="92">
        <v>4656.2619700000014</v>
      </c>
      <c r="H17" s="103">
        <v>1610598.51</v>
      </c>
    </row>
    <row r="18" spans="1:8" ht="15" customHeight="1" x14ac:dyDescent="0.2">
      <c r="A18" s="7"/>
      <c r="C18" s="35" t="s">
        <v>10</v>
      </c>
      <c r="D18" s="92">
        <v>2383.0513499999997</v>
      </c>
      <c r="E18" s="103">
        <v>324299</v>
      </c>
      <c r="G18" s="92">
        <v>3194.508420000001</v>
      </c>
      <c r="H18" s="103">
        <v>692197.36</v>
      </c>
    </row>
    <row r="19" spans="1:8" ht="15" customHeight="1" x14ac:dyDescent="0.2">
      <c r="A19" s="7"/>
      <c r="C19" s="35" t="s">
        <v>11</v>
      </c>
      <c r="D19" s="92">
        <v>75808.734079999995</v>
      </c>
      <c r="E19" s="103">
        <v>7083398</v>
      </c>
      <c r="G19" s="92">
        <v>37206.558779999999</v>
      </c>
      <c r="H19" s="103">
        <v>5565938.209999999</v>
      </c>
    </row>
    <row r="20" spans="1:8" ht="15" customHeight="1" x14ac:dyDescent="0.2">
      <c r="A20" s="7"/>
      <c r="C20" s="35" t="s">
        <v>12</v>
      </c>
      <c r="D20" s="92">
        <v>54.5</v>
      </c>
      <c r="E20" s="103">
        <v>10000</v>
      </c>
      <c r="G20" s="92"/>
      <c r="H20" s="103"/>
    </row>
    <row r="21" spans="1:8" ht="15" customHeight="1" x14ac:dyDescent="0.2">
      <c r="A21" s="7"/>
      <c r="C21" s="35" t="s">
        <v>38</v>
      </c>
      <c r="D21" s="92"/>
      <c r="E21" s="103"/>
      <c r="G21" s="92"/>
      <c r="H21" s="103"/>
    </row>
    <row r="22" spans="1:8" ht="15" customHeight="1" x14ac:dyDescent="0.2">
      <c r="A22" s="7"/>
      <c r="C22" s="36" t="s">
        <v>39</v>
      </c>
      <c r="D22" s="92"/>
      <c r="E22" s="103"/>
      <c r="G22" s="92"/>
      <c r="H22" s="103"/>
    </row>
    <row r="23" spans="1:8" ht="15" customHeight="1" x14ac:dyDescent="0.2">
      <c r="A23" s="7"/>
      <c r="C23" s="36" t="s">
        <v>5</v>
      </c>
      <c r="D23" s="93">
        <f>1.53*8760</f>
        <v>13402.800000000001</v>
      </c>
      <c r="E23" s="103">
        <v>119760</v>
      </c>
      <c r="G23" s="93">
        <f>2.03*8760</f>
        <v>17782.8</v>
      </c>
      <c r="H23" s="103">
        <v>119760</v>
      </c>
    </row>
    <row r="24" spans="1:8" ht="15" customHeight="1" x14ac:dyDescent="0.2">
      <c r="A24" s="7"/>
      <c r="C24" s="94"/>
      <c r="D24" s="93"/>
      <c r="E24" s="103"/>
      <c r="G24" s="93"/>
      <c r="H24" s="103"/>
    </row>
    <row r="25" spans="1:8" ht="15" customHeight="1" x14ac:dyDescent="0.2">
      <c r="A25" s="7"/>
      <c r="C25" s="94"/>
      <c r="D25" s="93"/>
      <c r="E25" s="103"/>
      <c r="G25" s="93"/>
      <c r="H25" s="103"/>
    </row>
    <row r="26" spans="1:8" ht="30.75" customHeight="1" x14ac:dyDescent="0.2">
      <c r="A26" s="7"/>
      <c r="B26" s="147" t="s">
        <v>70</v>
      </c>
      <c r="C26" s="148"/>
      <c r="E26" s="104"/>
      <c r="H26" s="104"/>
    </row>
    <row r="27" spans="1:8" ht="15" customHeight="1" x14ac:dyDescent="0.2">
      <c r="A27" s="7"/>
      <c r="C27" s="95" t="s">
        <v>242</v>
      </c>
      <c r="D27" s="101"/>
      <c r="E27" s="103">
        <v>818813</v>
      </c>
      <c r="G27" s="101"/>
      <c r="H27" s="103">
        <v>828771</v>
      </c>
    </row>
    <row r="28" spans="1:8" ht="15" customHeight="1" x14ac:dyDescent="0.2">
      <c r="A28" s="7"/>
      <c r="C28" s="95"/>
      <c r="D28" s="102"/>
      <c r="E28" s="103"/>
      <c r="G28" s="102"/>
      <c r="H28" s="103"/>
    </row>
    <row r="29" spans="1:8" ht="15" customHeight="1" x14ac:dyDescent="0.2">
      <c r="C29" s="37" t="s">
        <v>6</v>
      </c>
      <c r="D29" s="34">
        <f>SUM(D17:D25)</f>
        <v>95383.398480000003</v>
      </c>
      <c r="E29" s="105">
        <f>SUM(E17:E28)</f>
        <v>9443362</v>
      </c>
      <c r="G29" s="34">
        <f>SUM(G17:G25)</f>
        <v>62840.12917</v>
      </c>
      <c r="H29" s="105">
        <f>SUM(H17:H28)</f>
        <v>8817265.0799999982</v>
      </c>
    </row>
    <row r="30" spans="1:8" ht="15" customHeight="1" x14ac:dyDescent="0.2">
      <c r="B30" s="20"/>
      <c r="C30" s="21"/>
      <c r="D30" s="22"/>
      <c r="E30" s="21"/>
      <c r="F30" s="22"/>
    </row>
    <row r="31" spans="1:8" s="7" customFormat="1" ht="15" customHeight="1" x14ac:dyDescent="0.2">
      <c r="B31" s="3" t="s">
        <v>4</v>
      </c>
      <c r="C31" s="157" t="str">
        <f>CON_Utility_Name</f>
        <v>Cowlitz County PUD</v>
      </c>
      <c r="D31" s="157"/>
      <c r="E31" s="157"/>
      <c r="F31" s="157"/>
    </row>
    <row r="32" spans="1:8" s="7" customFormat="1" ht="21" customHeight="1" x14ac:dyDescent="0.2">
      <c r="B32" s="3"/>
      <c r="C32" s="6"/>
      <c r="D32" s="6"/>
      <c r="E32" s="6"/>
      <c r="F32" s="6"/>
    </row>
    <row r="33" spans="2:6" s="23" customFormat="1" ht="12.75" customHeight="1" x14ac:dyDescent="0.25">
      <c r="B33" s="158" t="s">
        <v>76</v>
      </c>
      <c r="C33" s="159"/>
      <c r="D33" s="159"/>
      <c r="E33" s="159"/>
      <c r="F33" s="159"/>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51" spans="2:2" x14ac:dyDescent="0.2">
      <c r="B51" s="11" t="s">
        <v>37</v>
      </c>
    </row>
  </sheetData>
  <mergeCells count="16">
    <mergeCell ref="C31:F31"/>
    <mergeCell ref="B33:F33"/>
    <mergeCell ref="B9:F9"/>
    <mergeCell ref="B10:C10"/>
    <mergeCell ref="D10:E10"/>
    <mergeCell ref="G14:H14"/>
    <mergeCell ref="G3:J3"/>
    <mergeCell ref="G15:H15"/>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90" fitToHeight="0" orientation="landscape" r:id="rId2"/>
  <headerFooter>
    <oddFooter>&amp;C2014:  Page &amp;P of &amp;N</oddFooter>
  </headerFooter>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heetViews>
  <sheetFormatPr defaultColWidth="9.140625" defaultRowHeight="12.75" x14ac:dyDescent="0.2"/>
  <cols>
    <col min="1" max="1" width="2.7109375" style="1" customWidth="1"/>
    <col min="2" max="2" width="30.140625" style="1" customWidth="1"/>
    <col min="3" max="3" width="13.85546875" style="1" customWidth="1"/>
    <col min="4" max="4" width="10.28515625" style="1" customWidth="1"/>
    <col min="5" max="13" width="10.7109375" style="1" customWidth="1"/>
    <col min="14" max="14" width="12.570312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0" t="s">
        <v>60</v>
      </c>
      <c r="C1" s="70"/>
      <c r="D1" s="70"/>
      <c r="AC1" s="65" t="s">
        <v>52</v>
      </c>
      <c r="AH1" s="62"/>
    </row>
    <row r="2" spans="2:34" ht="14.25" x14ac:dyDescent="0.2">
      <c r="B2" s="28"/>
      <c r="C2" s="28"/>
      <c r="D2" s="28"/>
      <c r="I2" s="174" t="s">
        <v>48</v>
      </c>
      <c r="J2" s="175"/>
      <c r="K2" s="175"/>
      <c r="L2" s="175"/>
      <c r="M2" s="175"/>
      <c r="N2" s="176"/>
      <c r="AC2" s="66" t="s">
        <v>53</v>
      </c>
      <c r="AH2" s="60"/>
    </row>
    <row r="3" spans="2:34" ht="15" customHeight="1" x14ac:dyDescent="0.2">
      <c r="B3" s="3" t="s">
        <v>4</v>
      </c>
      <c r="C3" s="180" t="s">
        <v>220</v>
      </c>
      <c r="D3" s="180"/>
      <c r="E3" s="180"/>
      <c r="I3" s="76"/>
      <c r="J3" s="7"/>
      <c r="K3" s="7"/>
      <c r="L3" s="7"/>
      <c r="M3" s="75" t="s">
        <v>44</v>
      </c>
      <c r="N3" s="140">
        <v>5203123.0913749952</v>
      </c>
      <c r="AC3" s="66" t="s">
        <v>54</v>
      </c>
      <c r="AH3" s="60"/>
    </row>
    <row r="4" spans="2:34" ht="15" customHeight="1" thickBot="1" x14ac:dyDescent="0.25">
      <c r="B4" s="4" t="s">
        <v>84</v>
      </c>
      <c r="C4" s="181">
        <v>41790</v>
      </c>
      <c r="D4" s="181"/>
      <c r="E4" s="181"/>
      <c r="I4" s="76"/>
      <c r="J4" s="7"/>
      <c r="K4" s="7"/>
      <c r="L4" s="7"/>
      <c r="M4" s="75" t="s">
        <v>57</v>
      </c>
      <c r="N4" s="140">
        <v>5267369.4036152251</v>
      </c>
      <c r="AC4" s="66" t="s">
        <v>55</v>
      </c>
      <c r="AH4" s="61"/>
    </row>
    <row r="5" spans="2:34" ht="15" customHeight="1" x14ac:dyDescent="0.2">
      <c r="B5" s="5" t="s">
        <v>0</v>
      </c>
      <c r="C5" s="182" t="s">
        <v>221</v>
      </c>
      <c r="D5" s="182"/>
      <c r="E5" s="182"/>
      <c r="I5" s="76"/>
      <c r="J5" s="7"/>
      <c r="K5" s="7"/>
      <c r="L5" s="7"/>
      <c r="M5" s="75" t="s">
        <v>58</v>
      </c>
      <c r="N5" s="141">
        <f>IF(REN_Load_2012+REN_Load_2013&gt;0,AVERAGE(REN_Load_2012,REN_Load_2013),0)</f>
        <v>5235246.2474951101</v>
      </c>
    </row>
    <row r="6" spans="2:34" ht="15" customHeight="1" x14ac:dyDescent="0.2">
      <c r="B6" s="5" t="s">
        <v>1</v>
      </c>
      <c r="C6" s="182" t="s">
        <v>222</v>
      </c>
      <c r="D6" s="182"/>
      <c r="E6" s="182"/>
      <c r="I6" s="76"/>
      <c r="J6" s="7"/>
      <c r="K6" s="7"/>
      <c r="L6" s="7"/>
      <c r="M6" s="75" t="s">
        <v>59</v>
      </c>
      <c r="N6" s="77">
        <v>0.03</v>
      </c>
    </row>
    <row r="7" spans="2:34" ht="15" customHeight="1" x14ac:dyDescent="0.2">
      <c r="B7" s="5" t="s">
        <v>2</v>
      </c>
      <c r="C7" s="183" t="s">
        <v>223</v>
      </c>
      <c r="D7" s="184"/>
      <c r="E7" s="184"/>
      <c r="I7" s="97"/>
      <c r="J7" s="7"/>
      <c r="K7" s="7"/>
      <c r="L7" s="7"/>
      <c r="M7" s="75" t="s">
        <v>65</v>
      </c>
      <c r="N7" s="141">
        <f>N5*N6</f>
        <v>157057.38742485331</v>
      </c>
    </row>
    <row r="8" spans="2:34" ht="15" customHeight="1" x14ac:dyDescent="0.2">
      <c r="B8" s="5"/>
      <c r="C8" s="5"/>
      <c r="D8" s="5"/>
      <c r="E8" s="4"/>
      <c r="I8" s="78"/>
      <c r="J8" s="79"/>
      <c r="K8" s="79"/>
      <c r="L8" s="79"/>
      <c r="M8" s="80" t="s">
        <v>56</v>
      </c>
      <c r="N8" s="142">
        <f>SUM(C20:M20)</f>
        <v>157058</v>
      </c>
    </row>
    <row r="9" spans="2:34" ht="15" customHeight="1" x14ac:dyDescent="0.2">
      <c r="B9" s="3" t="s">
        <v>61</v>
      </c>
      <c r="C9" s="71"/>
      <c r="D9" s="71"/>
    </row>
    <row r="10" spans="2:34" ht="15" customHeight="1" x14ac:dyDescent="0.2">
      <c r="C10" s="28"/>
      <c r="D10" s="28"/>
      <c r="G10" s="177" t="s">
        <v>168</v>
      </c>
      <c r="H10" s="178"/>
      <c r="I10" s="178"/>
      <c r="J10" s="178"/>
      <c r="K10" s="178"/>
      <c r="L10" s="178"/>
      <c r="M10" s="178"/>
      <c r="N10" s="179"/>
    </row>
    <row r="11" spans="2:34" s="63" customFormat="1" ht="14.25" customHeight="1" x14ac:dyDescent="0.25">
      <c r="B11" s="1"/>
      <c r="C11" s="64"/>
      <c r="D11" s="64"/>
      <c r="G11" s="76" t="s">
        <v>167</v>
      </c>
      <c r="H11" s="108"/>
      <c r="I11" s="108"/>
      <c r="J11" s="108"/>
      <c r="K11" s="108"/>
      <c r="L11" s="108"/>
      <c r="M11" s="7"/>
      <c r="N11" s="110">
        <v>5675433</v>
      </c>
    </row>
    <row r="12" spans="2:34" x14ac:dyDescent="0.2">
      <c r="C12" s="28"/>
      <c r="D12" s="28"/>
      <c r="G12" s="76" t="s">
        <v>175</v>
      </c>
      <c r="H12" s="106"/>
      <c r="I12" s="106"/>
      <c r="J12" s="106"/>
      <c r="K12" s="106"/>
      <c r="L12" s="7"/>
      <c r="M12" s="7"/>
      <c r="N12" s="110">
        <v>251366397</v>
      </c>
    </row>
    <row r="13" spans="2:34" x14ac:dyDescent="0.2">
      <c r="G13" s="109" t="s">
        <v>169</v>
      </c>
      <c r="H13" s="107"/>
      <c r="I13" s="107"/>
      <c r="J13" s="107"/>
      <c r="K13" s="107"/>
      <c r="L13" s="79"/>
      <c r="M13" s="79"/>
      <c r="N13" s="111">
        <f>IF(REN_RetailRevenueRequirement_2014&gt;0,REN_Expenditure_Amount_2014/REN_RetailRevenueRequirement_2014,"")</f>
        <v>2.2578328160545658E-2</v>
      </c>
    </row>
    <row r="14" spans="2:34" ht="17.45" customHeight="1" x14ac:dyDescent="0.2">
      <c r="I14" s="163"/>
      <c r="J14" s="163"/>
      <c r="K14" s="163"/>
      <c r="L14" s="163"/>
      <c r="M14" s="163"/>
      <c r="N14" s="57"/>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57"/>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57"/>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57"/>
      <c r="O17" s="24"/>
      <c r="P17" s="24"/>
    </row>
    <row r="18" spans="2:34" ht="15" customHeight="1" x14ac:dyDescent="0.2">
      <c r="B18" s="4" t="s">
        <v>45</v>
      </c>
      <c r="C18" s="12">
        <f t="shared" ref="C18:L18" si="0">SUM(E44:E64)</f>
        <v>0</v>
      </c>
      <c r="D18" s="12">
        <f>SUM(F44:F64)</f>
        <v>5848</v>
      </c>
      <c r="E18" s="12">
        <f t="shared" si="0"/>
        <v>0</v>
      </c>
      <c r="F18" s="12">
        <f t="shared" si="0"/>
        <v>0</v>
      </c>
      <c r="G18" s="12">
        <f t="shared" si="0"/>
        <v>0</v>
      </c>
      <c r="H18" s="12">
        <f t="shared" si="0"/>
        <v>0</v>
      </c>
      <c r="I18" s="12">
        <f t="shared" si="0"/>
        <v>0</v>
      </c>
      <c r="J18" s="12">
        <f t="shared" si="0"/>
        <v>0</v>
      </c>
      <c r="K18" s="12">
        <f t="shared" si="0"/>
        <v>0</v>
      </c>
      <c r="L18" s="12">
        <f t="shared" si="0"/>
        <v>0</v>
      </c>
      <c r="M18" s="96"/>
      <c r="N18" s="58"/>
      <c r="O18" s="68"/>
      <c r="P18" s="68"/>
    </row>
    <row r="19" spans="2:34" ht="16.5" customHeight="1" x14ac:dyDescent="0.2">
      <c r="B19" s="4" t="s">
        <v>46</v>
      </c>
      <c r="C19" s="96"/>
      <c r="D19" s="13">
        <f t="shared" ref="D19:M19" si="1">SUM(F72:F96)</f>
        <v>133818</v>
      </c>
      <c r="E19" s="13">
        <f t="shared" si="1"/>
        <v>0</v>
      </c>
      <c r="F19" s="13">
        <f t="shared" si="1"/>
        <v>0</v>
      </c>
      <c r="G19" s="13">
        <f t="shared" si="1"/>
        <v>0</v>
      </c>
      <c r="H19" s="13">
        <f t="shared" si="1"/>
        <v>0</v>
      </c>
      <c r="I19" s="13">
        <f t="shared" si="1"/>
        <v>0</v>
      </c>
      <c r="J19" s="13">
        <f t="shared" si="1"/>
        <v>0</v>
      </c>
      <c r="K19" s="13">
        <f t="shared" si="1"/>
        <v>0</v>
      </c>
      <c r="L19" s="13">
        <f t="shared" si="1"/>
        <v>17392</v>
      </c>
      <c r="M19" s="13">
        <f t="shared" si="1"/>
        <v>0</v>
      </c>
      <c r="N19" s="59"/>
      <c r="O19" s="24"/>
      <c r="P19" s="24"/>
    </row>
    <row r="20" spans="2:34" ht="16.5" customHeight="1" x14ac:dyDescent="0.2">
      <c r="B20" s="5" t="s">
        <v>47</v>
      </c>
      <c r="C20" s="14">
        <f t="shared" ref="C20:L20" si="2">C18+C19</f>
        <v>0</v>
      </c>
      <c r="D20" s="14">
        <f t="shared" si="2"/>
        <v>139666</v>
      </c>
      <c r="E20" s="14">
        <f t="shared" si="2"/>
        <v>0</v>
      </c>
      <c r="F20" s="14">
        <f t="shared" si="2"/>
        <v>0</v>
      </c>
      <c r="G20" s="14">
        <f t="shared" si="2"/>
        <v>0</v>
      </c>
      <c r="H20" s="14">
        <f t="shared" si="2"/>
        <v>0</v>
      </c>
      <c r="I20" s="14">
        <f t="shared" si="2"/>
        <v>0</v>
      </c>
      <c r="J20" s="14">
        <f t="shared" si="2"/>
        <v>0</v>
      </c>
      <c r="K20" s="14">
        <f t="shared" si="2"/>
        <v>0</v>
      </c>
      <c r="L20" s="14">
        <f t="shared" si="2"/>
        <v>17392</v>
      </c>
      <c r="M20" s="13">
        <f>M19</f>
        <v>0</v>
      </c>
      <c r="N20" s="59"/>
      <c r="O20" s="24"/>
      <c r="P20" s="24"/>
    </row>
    <row r="21" spans="2:34" ht="16.5" customHeight="1" x14ac:dyDescent="0.2">
      <c r="L21" s="7"/>
      <c r="M21" s="4"/>
      <c r="N21" s="59"/>
      <c r="O21" s="24"/>
      <c r="P21" s="24"/>
    </row>
    <row r="22" spans="2:34" ht="21.75" customHeight="1" x14ac:dyDescent="0.2">
      <c r="L22" s="7"/>
      <c r="M22" s="4"/>
      <c r="N22" s="59"/>
      <c r="O22" s="24"/>
      <c r="P22" s="24"/>
    </row>
    <row r="23" spans="2:34" ht="15" customHeight="1" x14ac:dyDescent="0.2">
      <c r="B23" s="69"/>
      <c r="C23" s="72"/>
      <c r="D23" s="72"/>
      <c r="E23" s="69"/>
      <c r="F23" s="72"/>
      <c r="G23" s="72"/>
      <c r="I23" s="7"/>
      <c r="J23" s="7"/>
      <c r="K23" s="7"/>
      <c r="L23" s="7"/>
      <c r="M23" s="4"/>
      <c r="N23" s="59"/>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64" t="str">
        <f>C3</f>
        <v>Cowlitz County PUD</v>
      </c>
      <c r="G36" s="165"/>
      <c r="H36" s="166"/>
    </row>
    <row r="37" spans="2:34" ht="15" customHeight="1" x14ac:dyDescent="0.2">
      <c r="E37" s="10" t="s">
        <v>13</v>
      </c>
      <c r="F37" s="167">
        <v>2014</v>
      </c>
      <c r="G37" s="168"/>
      <c r="H37" s="169"/>
    </row>
    <row r="38" spans="2:34" ht="15" customHeight="1" x14ac:dyDescent="0.2">
      <c r="E38" s="10"/>
      <c r="F38" s="67"/>
      <c r="G38" s="9"/>
      <c r="H38" s="9"/>
    </row>
    <row r="39" spans="2:34" s="29" customFormat="1" ht="27" customHeight="1" x14ac:dyDescent="0.25">
      <c r="B39" s="170" t="s">
        <v>173</v>
      </c>
      <c r="C39" s="171"/>
      <c r="D39" s="171"/>
      <c r="E39" s="172"/>
      <c r="F39" s="172"/>
      <c r="G39" s="172"/>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3" t="s">
        <v>35</v>
      </c>
      <c r="C43" s="173" t="s">
        <v>62</v>
      </c>
      <c r="D43" s="173"/>
      <c r="E43" s="25" t="s">
        <v>7</v>
      </c>
      <c r="F43" s="25" t="s">
        <v>7</v>
      </c>
      <c r="G43" s="25" t="s">
        <v>7</v>
      </c>
      <c r="H43" s="25" t="s">
        <v>7</v>
      </c>
      <c r="I43" s="25" t="s">
        <v>7</v>
      </c>
      <c r="J43" s="25" t="s">
        <v>7</v>
      </c>
      <c r="K43" s="25" t="s">
        <v>7</v>
      </c>
      <c r="L43" s="25" t="s">
        <v>7</v>
      </c>
      <c r="M43" s="25" t="s">
        <v>7</v>
      </c>
      <c r="N43" s="25" t="s">
        <v>64</v>
      </c>
      <c r="AH43" s="11"/>
    </row>
    <row r="44" spans="2:34" ht="15" customHeight="1" x14ac:dyDescent="0.2">
      <c r="B44" s="138" t="s">
        <v>224</v>
      </c>
      <c r="C44" s="38" t="s">
        <v>237</v>
      </c>
      <c r="D44" s="38">
        <v>2013</v>
      </c>
      <c r="E44" s="44"/>
      <c r="F44" s="45">
        <v>2792</v>
      </c>
      <c r="G44" s="45"/>
      <c r="H44" s="45"/>
      <c r="I44" s="45"/>
      <c r="J44" s="45"/>
      <c r="K44" s="45"/>
      <c r="L44" s="45"/>
      <c r="M44" s="45"/>
      <c r="N44" s="45"/>
    </row>
    <row r="45" spans="2:34" ht="15" customHeight="1" x14ac:dyDescent="0.2">
      <c r="B45" s="40" t="s">
        <v>224</v>
      </c>
      <c r="C45" s="38" t="s">
        <v>237</v>
      </c>
      <c r="D45" s="38">
        <v>2014</v>
      </c>
      <c r="E45" s="47"/>
      <c r="F45" s="48">
        <v>535</v>
      </c>
      <c r="G45" s="48"/>
      <c r="H45" s="48"/>
      <c r="I45" s="48"/>
      <c r="J45" s="48"/>
      <c r="K45" s="48"/>
      <c r="L45" s="48"/>
      <c r="M45" s="48"/>
      <c r="N45" s="48"/>
    </row>
    <row r="46" spans="2:34" ht="15" customHeight="1" x14ac:dyDescent="0.2">
      <c r="B46" s="40" t="s">
        <v>224</v>
      </c>
      <c r="C46" s="38" t="s">
        <v>238</v>
      </c>
      <c r="D46" s="38">
        <v>2013</v>
      </c>
      <c r="E46" s="47"/>
      <c r="F46" s="48">
        <v>1566</v>
      </c>
      <c r="G46" s="48"/>
      <c r="H46" s="48"/>
      <c r="I46" s="48"/>
      <c r="J46" s="48"/>
      <c r="K46" s="48"/>
      <c r="L46" s="48"/>
      <c r="M46" s="48"/>
      <c r="N46" s="48"/>
    </row>
    <row r="47" spans="2:34" ht="15" customHeight="1" x14ac:dyDescent="0.2">
      <c r="B47" s="40" t="s">
        <v>224</v>
      </c>
      <c r="C47" s="38" t="s">
        <v>238</v>
      </c>
      <c r="D47" s="38">
        <v>2014</v>
      </c>
      <c r="E47" s="47"/>
      <c r="F47" s="48">
        <v>955</v>
      </c>
      <c r="G47" s="48"/>
      <c r="H47" s="48"/>
      <c r="I47" s="48"/>
      <c r="J47" s="48"/>
      <c r="K47" s="48"/>
      <c r="L47" s="48"/>
      <c r="M47" s="48"/>
      <c r="N47" s="48"/>
    </row>
    <row r="48" spans="2:34" ht="15" customHeight="1" x14ac:dyDescent="0.2">
      <c r="B48" s="74"/>
      <c r="C48" s="38"/>
      <c r="D48" s="38"/>
      <c r="E48" s="47"/>
      <c r="F48" s="48"/>
      <c r="G48" s="48"/>
      <c r="H48" s="48"/>
      <c r="I48" s="48"/>
      <c r="J48" s="48"/>
      <c r="K48" s="48"/>
      <c r="L48" s="48"/>
      <c r="M48" s="48"/>
      <c r="N48" s="48"/>
    </row>
    <row r="49" spans="2:14" ht="15" customHeight="1" x14ac:dyDescent="0.2">
      <c r="B49" s="40"/>
      <c r="C49" s="38"/>
      <c r="D49" s="38"/>
      <c r="E49" s="47"/>
      <c r="F49" s="48"/>
      <c r="G49" s="48"/>
      <c r="H49" s="48"/>
      <c r="I49" s="48"/>
      <c r="J49" s="48"/>
      <c r="K49" s="48"/>
      <c r="L49" s="48"/>
      <c r="M49" s="48"/>
      <c r="N49" s="48"/>
    </row>
    <row r="50" spans="2:14" ht="15" customHeight="1" x14ac:dyDescent="0.2">
      <c r="B50" s="40"/>
      <c r="C50" s="38"/>
      <c r="D50" s="38"/>
      <c r="E50" s="47"/>
      <c r="F50" s="48"/>
      <c r="G50" s="48"/>
      <c r="H50" s="48"/>
      <c r="I50" s="48"/>
      <c r="J50" s="48"/>
      <c r="K50" s="48"/>
      <c r="L50" s="48"/>
      <c r="M50" s="48"/>
      <c r="N50" s="48"/>
    </row>
    <row r="51" spans="2:14" ht="15" customHeight="1" x14ac:dyDescent="0.2">
      <c r="B51" s="40"/>
      <c r="C51" s="38"/>
      <c r="D51" s="38"/>
      <c r="E51" s="47"/>
      <c r="F51" s="48"/>
      <c r="G51" s="48"/>
      <c r="H51" s="48"/>
      <c r="I51" s="48"/>
      <c r="J51" s="48"/>
      <c r="K51" s="48"/>
      <c r="L51" s="48"/>
      <c r="M51" s="48"/>
      <c r="N51" s="48"/>
    </row>
    <row r="52" spans="2:14" ht="15" customHeight="1" x14ac:dyDescent="0.2">
      <c r="B52" s="40"/>
      <c r="C52" s="38"/>
      <c r="D52" s="38"/>
      <c r="E52" s="47"/>
      <c r="F52" s="48"/>
      <c r="G52" s="48"/>
      <c r="H52" s="48"/>
      <c r="I52" s="48"/>
      <c r="J52" s="48"/>
      <c r="K52" s="48"/>
      <c r="L52" s="48"/>
      <c r="M52" s="48"/>
      <c r="N52" s="48"/>
    </row>
    <row r="53" spans="2:14" ht="15" customHeight="1" x14ac:dyDescent="0.2">
      <c r="B53" s="40"/>
      <c r="C53" s="38"/>
      <c r="D53" s="38"/>
      <c r="E53" s="47"/>
      <c r="F53" s="48"/>
      <c r="G53" s="48"/>
      <c r="H53" s="48"/>
      <c r="I53" s="48"/>
      <c r="J53" s="48"/>
      <c r="K53" s="48"/>
      <c r="L53" s="48"/>
      <c r="M53" s="48"/>
      <c r="N53" s="48"/>
    </row>
    <row r="54" spans="2:14" ht="15" customHeight="1" x14ac:dyDescent="0.2">
      <c r="B54" s="40"/>
      <c r="C54" s="38"/>
      <c r="D54" s="38"/>
      <c r="E54" s="47"/>
      <c r="F54" s="48"/>
      <c r="G54" s="48"/>
      <c r="H54" s="48"/>
      <c r="I54" s="48"/>
      <c r="J54" s="48"/>
      <c r="K54" s="48"/>
      <c r="L54" s="48"/>
      <c r="M54" s="48"/>
      <c r="N54" s="48"/>
    </row>
    <row r="55" spans="2:14" ht="15" customHeight="1" x14ac:dyDescent="0.2">
      <c r="B55" s="40"/>
      <c r="C55" s="38"/>
      <c r="D55" s="38"/>
      <c r="E55" s="47"/>
      <c r="F55" s="48"/>
      <c r="G55" s="48"/>
      <c r="H55" s="48"/>
      <c r="I55" s="48"/>
      <c r="J55" s="48"/>
      <c r="K55" s="48"/>
      <c r="L55" s="48"/>
      <c r="M55" s="48"/>
      <c r="N55" s="48"/>
    </row>
    <row r="56" spans="2:14" ht="15" customHeight="1" x14ac:dyDescent="0.2">
      <c r="B56" s="40"/>
      <c r="C56" s="38"/>
      <c r="D56" s="38"/>
      <c r="E56" s="47"/>
      <c r="F56" s="48"/>
      <c r="G56" s="48"/>
      <c r="H56" s="48"/>
      <c r="I56" s="48"/>
      <c r="J56" s="48"/>
      <c r="K56" s="48"/>
      <c r="L56" s="48"/>
      <c r="M56" s="48"/>
      <c r="N56" s="48"/>
    </row>
    <row r="57" spans="2:14" ht="15" customHeight="1" x14ac:dyDescent="0.2">
      <c r="B57" s="40"/>
      <c r="C57" s="38"/>
      <c r="D57" s="38"/>
      <c r="E57" s="47"/>
      <c r="F57" s="48"/>
      <c r="G57" s="48"/>
      <c r="H57" s="48"/>
      <c r="I57" s="48"/>
      <c r="J57" s="48"/>
      <c r="K57" s="48"/>
      <c r="L57" s="48"/>
      <c r="M57" s="48"/>
      <c r="N57" s="48"/>
    </row>
    <row r="58" spans="2:14" ht="15" customHeight="1" x14ac:dyDescent="0.2">
      <c r="B58" s="40"/>
      <c r="C58" s="38"/>
      <c r="D58" s="38"/>
      <c r="E58" s="47"/>
      <c r="F58" s="48"/>
      <c r="G58" s="48"/>
      <c r="H58" s="48"/>
      <c r="I58" s="48"/>
      <c r="J58" s="48"/>
      <c r="K58" s="48"/>
      <c r="L58" s="48"/>
      <c r="M58" s="48"/>
      <c r="N58" s="48"/>
    </row>
    <row r="59" spans="2:14" ht="15" customHeight="1" x14ac:dyDescent="0.2">
      <c r="B59" s="40"/>
      <c r="C59" s="38"/>
      <c r="D59" s="38"/>
      <c r="E59" s="47"/>
      <c r="F59" s="48"/>
      <c r="G59" s="48"/>
      <c r="H59" s="48"/>
      <c r="I59" s="48"/>
      <c r="J59" s="48"/>
      <c r="K59" s="48"/>
      <c r="L59" s="48"/>
      <c r="M59" s="48"/>
      <c r="N59" s="48"/>
    </row>
    <row r="60" spans="2:14" ht="15" customHeight="1" x14ac:dyDescent="0.2">
      <c r="B60" s="40"/>
      <c r="C60" s="38"/>
      <c r="D60" s="38"/>
      <c r="E60" s="47"/>
      <c r="F60" s="48"/>
      <c r="G60" s="48"/>
      <c r="H60" s="48"/>
      <c r="I60" s="48"/>
      <c r="J60" s="48"/>
      <c r="K60" s="48"/>
      <c r="L60" s="48"/>
      <c r="M60" s="48"/>
      <c r="N60" s="48"/>
    </row>
    <row r="61" spans="2:14" ht="15" customHeight="1" x14ac:dyDescent="0.2">
      <c r="B61" s="40"/>
      <c r="C61" s="38"/>
      <c r="D61" s="38"/>
      <c r="E61" s="47"/>
      <c r="F61" s="48"/>
      <c r="G61" s="48"/>
      <c r="H61" s="48"/>
      <c r="I61" s="48"/>
      <c r="J61" s="48"/>
      <c r="K61" s="48"/>
      <c r="L61" s="48"/>
      <c r="M61" s="48"/>
      <c r="N61" s="48"/>
    </row>
    <row r="62" spans="2:14" ht="15" customHeight="1" x14ac:dyDescent="0.2">
      <c r="B62" s="40"/>
      <c r="C62" s="38"/>
      <c r="D62" s="38"/>
      <c r="E62" s="47"/>
      <c r="F62" s="48"/>
      <c r="G62" s="48"/>
      <c r="H62" s="48"/>
      <c r="I62" s="48"/>
      <c r="J62" s="48"/>
      <c r="K62" s="48"/>
      <c r="L62" s="48"/>
      <c r="M62" s="48"/>
      <c r="N62" s="48"/>
    </row>
    <row r="63" spans="2:14" ht="15" customHeight="1" x14ac:dyDescent="0.2">
      <c r="B63" s="40"/>
      <c r="C63" s="38"/>
      <c r="D63" s="38"/>
      <c r="E63" s="47"/>
      <c r="F63" s="48"/>
      <c r="G63" s="48"/>
      <c r="H63" s="48"/>
      <c r="I63" s="48"/>
      <c r="J63" s="48"/>
      <c r="K63" s="48"/>
      <c r="L63" s="48"/>
      <c r="M63" s="48"/>
      <c r="N63" s="48"/>
    </row>
    <row r="64" spans="2:14" ht="15" customHeight="1" x14ac:dyDescent="0.2">
      <c r="B64" s="41"/>
      <c r="C64" s="39"/>
      <c r="D64" s="39"/>
      <c r="E64" s="50"/>
      <c r="F64" s="51"/>
      <c r="G64" s="51"/>
      <c r="H64" s="51"/>
      <c r="I64" s="51"/>
      <c r="J64" s="51"/>
      <c r="K64" s="51"/>
      <c r="L64" s="51"/>
      <c r="M64" s="51"/>
      <c r="N64" s="51"/>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64" t="str">
        <f>C3</f>
        <v>Cowlitz County PUD</v>
      </c>
      <c r="G66" s="165"/>
      <c r="H66" s="166"/>
    </row>
    <row r="67" spans="1:34" ht="15" customHeight="1" x14ac:dyDescent="0.2">
      <c r="E67" s="10" t="s">
        <v>13</v>
      </c>
      <c r="F67" s="167">
        <v>2014</v>
      </c>
      <c r="G67" s="168"/>
      <c r="H67" s="169"/>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3" t="s">
        <v>35</v>
      </c>
      <c r="C71" s="42" t="s">
        <v>62</v>
      </c>
      <c r="D71" s="42"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138" t="s">
        <v>225</v>
      </c>
      <c r="C72" s="143" t="s">
        <v>231</v>
      </c>
      <c r="D72" s="138">
        <v>2013</v>
      </c>
      <c r="E72" s="53"/>
      <c r="F72" s="136">
        <v>75643</v>
      </c>
      <c r="G72" s="45"/>
      <c r="H72" s="45"/>
      <c r="I72" s="45"/>
      <c r="J72" s="45"/>
      <c r="K72" s="45"/>
      <c r="L72" s="45"/>
      <c r="M72" s="45"/>
      <c r="N72" s="45">
        <v>15128</v>
      </c>
      <c r="O72" s="46"/>
    </row>
    <row r="73" spans="1:34" ht="15" customHeight="1" x14ac:dyDescent="0.2">
      <c r="A73" s="7"/>
      <c r="B73" s="40" t="s">
        <v>225</v>
      </c>
      <c r="C73" s="40" t="s">
        <v>231</v>
      </c>
      <c r="D73" s="40">
        <v>2014</v>
      </c>
      <c r="E73" s="54"/>
      <c r="F73" s="137">
        <v>11320</v>
      </c>
      <c r="G73" s="48"/>
      <c r="H73" s="48"/>
      <c r="I73" s="48"/>
      <c r="J73" s="48"/>
      <c r="K73" s="48"/>
      <c r="L73" s="48"/>
      <c r="M73" s="48"/>
      <c r="N73" s="48">
        <v>2264</v>
      </c>
      <c r="O73" s="49"/>
    </row>
    <row r="74" spans="1:34" ht="15" customHeight="1" x14ac:dyDescent="0.2">
      <c r="A74" s="7"/>
      <c r="B74" s="40" t="s">
        <v>226</v>
      </c>
      <c r="C74" s="40" t="s">
        <v>232</v>
      </c>
      <c r="D74" s="40">
        <v>2013</v>
      </c>
      <c r="E74" s="54"/>
      <c r="F74" s="137">
        <v>38516</v>
      </c>
      <c r="G74" s="48"/>
      <c r="H74" s="48"/>
      <c r="I74" s="48"/>
      <c r="J74" s="48"/>
      <c r="K74" s="48"/>
      <c r="L74" s="48"/>
      <c r="M74" s="48"/>
      <c r="N74" s="48"/>
      <c r="O74" s="49"/>
    </row>
    <row r="75" spans="1:34" ht="15" customHeight="1" x14ac:dyDescent="0.2">
      <c r="A75" s="7"/>
      <c r="B75" s="40" t="s">
        <v>227</v>
      </c>
      <c r="C75" s="40" t="s">
        <v>233</v>
      </c>
      <c r="D75" s="40">
        <v>2013</v>
      </c>
      <c r="E75" s="55"/>
      <c r="F75" s="55">
        <v>1599</v>
      </c>
      <c r="G75" s="48"/>
      <c r="H75" s="48"/>
      <c r="I75" s="48"/>
      <c r="J75" s="48"/>
      <c r="K75" s="48"/>
      <c r="L75" s="48"/>
      <c r="M75" s="48"/>
      <c r="N75" s="48"/>
      <c r="O75" s="49"/>
    </row>
    <row r="76" spans="1:34" ht="15" customHeight="1" x14ac:dyDescent="0.2">
      <c r="A76" s="7"/>
      <c r="B76" s="40" t="s">
        <v>228</v>
      </c>
      <c r="C76" s="40" t="s">
        <v>234</v>
      </c>
      <c r="D76" s="40">
        <v>2013</v>
      </c>
      <c r="E76" s="55"/>
      <c r="F76" s="55">
        <v>997</v>
      </c>
      <c r="G76" s="48"/>
      <c r="H76" s="48"/>
      <c r="I76" s="48"/>
      <c r="J76" s="48"/>
      <c r="K76" s="48"/>
      <c r="L76" s="48"/>
      <c r="M76" s="48"/>
      <c r="N76" s="48"/>
      <c r="O76" s="49"/>
    </row>
    <row r="77" spans="1:34" ht="15" customHeight="1" x14ac:dyDescent="0.2">
      <c r="A77" s="7"/>
      <c r="B77" s="40" t="s">
        <v>229</v>
      </c>
      <c r="C77" s="40" t="s">
        <v>235</v>
      </c>
      <c r="D77" s="40">
        <v>2013</v>
      </c>
      <c r="E77" s="55"/>
      <c r="F77" s="55">
        <v>2412</v>
      </c>
      <c r="G77" s="48"/>
      <c r="H77" s="48"/>
      <c r="I77" s="48"/>
      <c r="J77" s="48"/>
      <c r="K77" s="48"/>
      <c r="L77" s="48"/>
      <c r="M77" s="48"/>
      <c r="N77" s="48"/>
      <c r="O77" s="49"/>
    </row>
    <row r="78" spans="1:34" ht="15" customHeight="1" x14ac:dyDescent="0.2">
      <c r="A78" s="7"/>
      <c r="B78" s="40" t="s">
        <v>230</v>
      </c>
      <c r="C78" s="40" t="s">
        <v>236</v>
      </c>
      <c r="D78" s="43">
        <v>2013</v>
      </c>
      <c r="E78" s="55"/>
      <c r="F78" s="55">
        <v>3331</v>
      </c>
      <c r="G78" s="48"/>
      <c r="H78" s="48"/>
      <c r="I78" s="48"/>
      <c r="J78" s="48"/>
      <c r="K78" s="48"/>
      <c r="L78" s="48"/>
      <c r="M78" s="48"/>
      <c r="N78" s="48"/>
      <c r="O78" s="49"/>
    </row>
    <row r="79" spans="1:34" ht="15" customHeight="1" x14ac:dyDescent="0.2">
      <c r="B79" s="40"/>
      <c r="C79" s="40"/>
      <c r="D79" s="43"/>
      <c r="E79" s="55"/>
      <c r="F79" s="55"/>
      <c r="G79" s="48"/>
      <c r="H79" s="48"/>
      <c r="I79" s="48"/>
      <c r="J79" s="48"/>
      <c r="K79" s="48"/>
      <c r="L79" s="48"/>
      <c r="M79" s="48"/>
      <c r="N79" s="48"/>
      <c r="O79" s="49"/>
    </row>
    <row r="80" spans="1:34" ht="15" customHeight="1" x14ac:dyDescent="0.2">
      <c r="B80" s="40"/>
      <c r="C80" s="40"/>
      <c r="D80" s="40"/>
      <c r="E80" s="55"/>
      <c r="F80" s="48"/>
      <c r="G80" s="48"/>
      <c r="H80" s="48"/>
      <c r="I80" s="48"/>
      <c r="J80" s="48"/>
      <c r="K80" s="48"/>
      <c r="L80" s="48"/>
      <c r="M80" s="48"/>
      <c r="N80" s="48"/>
      <c r="O80" s="49"/>
    </row>
    <row r="81" spans="2:15" ht="15" customHeight="1" x14ac:dyDescent="0.2">
      <c r="B81" s="40"/>
      <c r="C81" s="40"/>
      <c r="D81" s="40"/>
      <c r="E81" s="55"/>
      <c r="F81" s="48"/>
      <c r="G81" s="48"/>
      <c r="H81" s="48"/>
      <c r="I81" s="48"/>
      <c r="J81" s="48"/>
      <c r="K81" s="48"/>
      <c r="L81" s="48"/>
      <c r="M81" s="48"/>
      <c r="N81" s="48"/>
      <c r="O81" s="49"/>
    </row>
    <row r="82" spans="2:15" ht="15" customHeight="1" x14ac:dyDescent="0.2">
      <c r="B82" s="40"/>
      <c r="C82" s="40"/>
      <c r="D82" s="40"/>
      <c r="E82" s="55"/>
      <c r="F82" s="48"/>
      <c r="G82" s="48"/>
      <c r="H82" s="48"/>
      <c r="I82" s="48"/>
      <c r="J82" s="48"/>
      <c r="K82" s="48"/>
      <c r="L82" s="48"/>
      <c r="M82" s="48"/>
      <c r="N82" s="48"/>
      <c r="O82" s="49"/>
    </row>
    <row r="83" spans="2:15" ht="15" customHeight="1" x14ac:dyDescent="0.2">
      <c r="B83" s="40"/>
      <c r="C83" s="40"/>
      <c r="D83" s="40"/>
      <c r="E83" s="55"/>
      <c r="F83" s="48"/>
      <c r="G83" s="48"/>
      <c r="H83" s="48"/>
      <c r="I83" s="48"/>
      <c r="J83" s="48"/>
      <c r="K83" s="48"/>
      <c r="L83" s="48"/>
      <c r="M83" s="48"/>
      <c r="N83" s="48"/>
      <c r="O83" s="49"/>
    </row>
    <row r="84" spans="2:15" ht="15" customHeight="1" x14ac:dyDescent="0.2">
      <c r="B84" s="40"/>
      <c r="C84" s="40"/>
      <c r="D84" s="40"/>
      <c r="E84" s="55"/>
      <c r="F84" s="48"/>
      <c r="G84" s="48"/>
      <c r="H84" s="48"/>
      <c r="I84" s="48"/>
      <c r="J84" s="48"/>
      <c r="K84" s="48"/>
      <c r="L84" s="48"/>
      <c r="M84" s="48"/>
      <c r="N84" s="48"/>
      <c r="O84" s="49"/>
    </row>
    <row r="85" spans="2:15" ht="15" customHeight="1" x14ac:dyDescent="0.2">
      <c r="B85" s="40"/>
      <c r="C85" s="40"/>
      <c r="D85" s="40"/>
      <c r="E85" s="55"/>
      <c r="F85" s="48"/>
      <c r="G85" s="48"/>
      <c r="H85" s="48"/>
      <c r="I85" s="48"/>
      <c r="J85" s="48"/>
      <c r="K85" s="48"/>
      <c r="L85" s="48"/>
      <c r="M85" s="48"/>
      <c r="N85" s="48"/>
      <c r="O85" s="49"/>
    </row>
    <row r="86" spans="2:15" ht="15" customHeight="1" x14ac:dyDescent="0.2">
      <c r="B86" s="40"/>
      <c r="C86" s="40"/>
      <c r="D86" s="40"/>
      <c r="E86" s="55"/>
      <c r="F86" s="48"/>
      <c r="G86" s="48"/>
      <c r="H86" s="48"/>
      <c r="I86" s="48"/>
      <c r="J86" s="48"/>
      <c r="K86" s="48"/>
      <c r="L86" s="48"/>
      <c r="M86" s="48"/>
      <c r="N86" s="48"/>
      <c r="O86" s="49"/>
    </row>
    <row r="87" spans="2:15" ht="15" customHeight="1" x14ac:dyDescent="0.2">
      <c r="B87" s="40"/>
      <c r="C87" s="40"/>
      <c r="D87" s="40"/>
      <c r="E87" s="55"/>
      <c r="F87" s="48"/>
      <c r="G87" s="48"/>
      <c r="H87" s="48"/>
      <c r="I87" s="48"/>
      <c r="J87" s="48"/>
      <c r="K87" s="48"/>
      <c r="L87" s="48"/>
      <c r="M87" s="48"/>
      <c r="N87" s="48"/>
      <c r="O87" s="49"/>
    </row>
    <row r="88" spans="2:15" ht="15" customHeight="1" x14ac:dyDescent="0.2">
      <c r="B88" s="40"/>
      <c r="C88" s="40"/>
      <c r="D88" s="40"/>
      <c r="E88" s="55"/>
      <c r="F88" s="48"/>
      <c r="G88" s="48"/>
      <c r="H88" s="48"/>
      <c r="I88" s="48"/>
      <c r="J88" s="48"/>
      <c r="K88" s="48"/>
      <c r="L88" s="48"/>
      <c r="M88" s="48"/>
      <c r="N88" s="48"/>
      <c r="O88" s="49"/>
    </row>
    <row r="89" spans="2:15" ht="15" customHeight="1" x14ac:dyDescent="0.2">
      <c r="B89" s="40"/>
      <c r="C89" s="40"/>
      <c r="D89" s="40"/>
      <c r="E89" s="55"/>
      <c r="F89" s="48"/>
      <c r="G89" s="48"/>
      <c r="H89" s="48"/>
      <c r="I89" s="48"/>
      <c r="J89" s="48"/>
      <c r="K89" s="48"/>
      <c r="L89" s="48"/>
      <c r="M89" s="48"/>
      <c r="N89" s="48"/>
      <c r="O89" s="49"/>
    </row>
    <row r="90" spans="2:15" ht="15" customHeight="1" x14ac:dyDescent="0.2">
      <c r="B90" s="40"/>
      <c r="C90" s="40"/>
      <c r="D90" s="40"/>
      <c r="E90" s="55"/>
      <c r="F90" s="48"/>
      <c r="G90" s="48"/>
      <c r="H90" s="48"/>
      <c r="I90" s="48"/>
      <c r="J90" s="48"/>
      <c r="K90" s="48"/>
      <c r="L90" s="48"/>
      <c r="M90" s="48"/>
      <c r="N90" s="48"/>
      <c r="O90" s="49"/>
    </row>
    <row r="91" spans="2:15" ht="15" customHeight="1" x14ac:dyDescent="0.2">
      <c r="B91" s="40"/>
      <c r="C91" s="40"/>
      <c r="D91" s="40"/>
      <c r="E91" s="55"/>
      <c r="F91" s="48"/>
      <c r="G91" s="48"/>
      <c r="H91" s="48"/>
      <c r="I91" s="48"/>
      <c r="J91" s="48"/>
      <c r="K91" s="48"/>
      <c r="L91" s="48"/>
      <c r="M91" s="48"/>
      <c r="N91" s="48"/>
      <c r="O91" s="49"/>
    </row>
    <row r="92" spans="2:15" ht="15" customHeight="1" x14ac:dyDescent="0.2">
      <c r="B92" s="40"/>
      <c r="C92" s="40"/>
      <c r="D92" s="40"/>
      <c r="E92" s="55"/>
      <c r="F92" s="48"/>
      <c r="G92" s="48"/>
      <c r="H92" s="48"/>
      <c r="I92" s="48"/>
      <c r="J92" s="48"/>
      <c r="K92" s="48"/>
      <c r="L92" s="48"/>
      <c r="M92" s="48"/>
      <c r="N92" s="48"/>
      <c r="O92" s="49"/>
    </row>
    <row r="93" spans="2:15" ht="15" customHeight="1" x14ac:dyDescent="0.2">
      <c r="B93" s="40"/>
      <c r="C93" s="40"/>
      <c r="D93" s="40"/>
      <c r="E93" s="55"/>
      <c r="F93" s="48"/>
      <c r="G93" s="48"/>
      <c r="H93" s="48"/>
      <c r="I93" s="48"/>
      <c r="J93" s="48"/>
      <c r="K93" s="48"/>
      <c r="L93" s="48"/>
      <c r="M93" s="48"/>
      <c r="N93" s="48"/>
      <c r="O93" s="49"/>
    </row>
    <row r="94" spans="2:15" ht="15" customHeight="1" x14ac:dyDescent="0.2">
      <c r="B94" s="40"/>
      <c r="C94" s="40"/>
      <c r="D94" s="40"/>
      <c r="E94" s="55"/>
      <c r="F94" s="48"/>
      <c r="G94" s="48"/>
      <c r="H94" s="48"/>
      <c r="I94" s="48"/>
      <c r="J94" s="48"/>
      <c r="K94" s="48"/>
      <c r="L94" s="48"/>
      <c r="M94" s="48"/>
      <c r="N94" s="48"/>
      <c r="O94" s="49"/>
    </row>
    <row r="95" spans="2:15" ht="15" customHeight="1" x14ac:dyDescent="0.2">
      <c r="B95" s="40"/>
      <c r="C95" s="40"/>
      <c r="D95" s="40"/>
      <c r="E95" s="55"/>
      <c r="F95" s="48"/>
      <c r="G95" s="48"/>
      <c r="H95" s="48"/>
      <c r="I95" s="48"/>
      <c r="J95" s="48"/>
      <c r="K95" s="48"/>
      <c r="L95" s="48"/>
      <c r="M95" s="48"/>
      <c r="N95" s="48"/>
      <c r="O95" s="49"/>
    </row>
    <row r="96" spans="2:15" ht="15" customHeight="1" x14ac:dyDescent="0.2">
      <c r="B96" s="41"/>
      <c r="C96" s="41"/>
      <c r="D96" s="41"/>
      <c r="E96" s="56"/>
      <c r="F96" s="51"/>
      <c r="G96" s="51"/>
      <c r="H96" s="51"/>
      <c r="I96" s="51"/>
      <c r="J96" s="51"/>
      <c r="K96" s="51"/>
      <c r="L96" s="51"/>
      <c r="M96" s="51"/>
      <c r="N96" s="51"/>
      <c r="O96" s="52"/>
    </row>
    <row r="97" spans="2:34" ht="15" customHeight="1" x14ac:dyDescent="0.2"/>
    <row r="98" spans="2:34" ht="15" customHeight="1" x14ac:dyDescent="0.2">
      <c r="B98" s="11"/>
      <c r="C98" s="11"/>
      <c r="D98" s="11"/>
      <c r="E98" s="10" t="s">
        <v>4</v>
      </c>
      <c r="F98" s="164" t="str">
        <f>C3</f>
        <v>Cowlitz County PUD</v>
      </c>
      <c r="G98" s="165"/>
      <c r="H98" s="166"/>
    </row>
    <row r="99" spans="2:34" ht="15" customHeight="1" x14ac:dyDescent="0.2">
      <c r="E99" s="10" t="s">
        <v>50</v>
      </c>
      <c r="F99" s="167">
        <v>2014</v>
      </c>
      <c r="G99" s="168"/>
      <c r="H99" s="169"/>
    </row>
    <row r="100" spans="2:34" ht="15" customHeight="1" x14ac:dyDescent="0.2">
      <c r="B100" s="11" t="s">
        <v>78</v>
      </c>
      <c r="C100" s="11"/>
      <c r="D100" s="11"/>
      <c r="E100" s="10"/>
      <c r="F100" s="67"/>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headerFooter>
    <oddFooter>&amp;C2014:  Page &amp;P of &amp;N</oddFooter>
  </headerFooter>
  <rowBreaks count="3" manualBreakCount="3">
    <brk id="34" min="1" max="14" man="1"/>
    <brk id="64" min="1" max="14" man="1"/>
    <brk id="97" min="1"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Cowlitz County PUD</v>
      </c>
      <c r="B2">
        <f>REN_Total_2014</f>
        <v>157058</v>
      </c>
      <c r="C2">
        <f>CON_2012_Agriculture_MWH</f>
        <v>54.5</v>
      </c>
      <c r="D2">
        <f>CON_2012_Commercial_Expend</f>
        <v>324299</v>
      </c>
      <c r="E2">
        <f>CON_2012_Commercial_MWH</f>
        <v>2383.0513499999997</v>
      </c>
      <c r="F2">
        <f>CON_2012_Distribution_Expend</f>
        <v>0</v>
      </c>
      <c r="G2">
        <f>CON_2012_Distribution_MWH</f>
        <v>0</v>
      </c>
      <c r="H2">
        <f>CON_2012_Expenditures</f>
        <v>9443362</v>
      </c>
      <c r="I2">
        <f>CON_2012_Industrial_Expend</f>
        <v>7083398</v>
      </c>
      <c r="J2">
        <f>CON_2012_Industrial_MWH</f>
        <v>75808.734079999995</v>
      </c>
      <c r="K2">
        <f>CON_2012_MWH</f>
        <v>95383.398480000003</v>
      </c>
      <c r="L2">
        <f>CON_2012_NEEA_Expend</f>
        <v>119760</v>
      </c>
      <c r="M2">
        <f>CON_2012_NEEA_MWH</f>
        <v>13402.800000000001</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818813</v>
      </c>
      <c r="U2">
        <f>CON_2012_Program2_Expend</f>
        <v>0</v>
      </c>
      <c r="V2">
        <f>CON_2012_Residential_Expend</f>
        <v>1087092</v>
      </c>
      <c r="W2">
        <f>CON_2012_Residential_MWH</f>
        <v>3734.3130499999997</v>
      </c>
      <c r="X2">
        <f>CON_2013_Agriculture_Expend</f>
        <v>0</v>
      </c>
      <c r="Y2">
        <f>CON_2013_Agriculture_MWH</f>
        <v>0</v>
      </c>
      <c r="Z2">
        <f>CON_2013_Commercial_Expend</f>
        <v>692197.36</v>
      </c>
      <c r="AA2">
        <f>CON_2013_Commercial_MWH</f>
        <v>3194.508420000001</v>
      </c>
      <c r="AB2">
        <f>CON_2013_Distribution_Expend</f>
        <v>0</v>
      </c>
      <c r="AC2">
        <f>CON_2013_Distribution_MWH</f>
        <v>0</v>
      </c>
      <c r="AD2">
        <f>CON_2013_Expenditures</f>
        <v>8817265.0799999982</v>
      </c>
      <c r="AE2">
        <f>CON_2013_Industrial_Expend</f>
        <v>5565938.209999999</v>
      </c>
      <c r="AF2">
        <f>CON_2013_Industrial_MWH</f>
        <v>37206.558779999999</v>
      </c>
      <c r="AG2">
        <f>CON_2013_MWH</f>
        <v>62840.12917</v>
      </c>
      <c r="AH2">
        <f>CON_2013_NEEA_Expend</f>
        <v>119760</v>
      </c>
      <c r="AI2">
        <f>CON_2013_NEEA_MWH</f>
        <v>17782.8</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828771</v>
      </c>
      <c r="AQ2">
        <f>CON_2013_Program2_Expend</f>
        <v>0</v>
      </c>
      <c r="AR2">
        <f>CON_2013_Residential_Expend</f>
        <v>1610598.51</v>
      </c>
      <c r="AS2">
        <f>CON_2013_Residential_MWH</f>
        <v>4656.2619700000014</v>
      </c>
      <c r="AT2" t="str">
        <f>CON_Contact_Name</f>
        <v>Eugene Rosolie, Energy Efficiency Services</v>
      </c>
      <c r="AU2" t="str">
        <f>CON_Email</f>
        <v>erosolie@cowlitzpud.org</v>
      </c>
      <c r="AV2" t="str">
        <f>CON_Phone</f>
        <v>360-577-7505</v>
      </c>
      <c r="AW2">
        <f>CON_Potential_2012_2021</f>
        <v>367920</v>
      </c>
      <c r="AX2">
        <f>CON_Potential_2014_2023</f>
        <v>289080</v>
      </c>
      <c r="AY2">
        <f>CON_Report_Date</f>
        <v>41790</v>
      </c>
      <c r="AZ2">
        <f>CON_Target_2012_2013</f>
        <v>73584</v>
      </c>
      <c r="BA2">
        <f>CON_Target_2014_2015</f>
        <v>56940</v>
      </c>
      <c r="BB2" t="str">
        <f>CON_Utility_Name</f>
        <v>Cowlitz County PUD</v>
      </c>
      <c r="BC2" t="str">
        <f>REN_Contact_Name</f>
        <v>Gary Huhta / Dir. Of Power Management</v>
      </c>
      <c r="BD2" t="str">
        <f>REN_Email</f>
        <v>ghuhta@cowlitzpud.org</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5848</v>
      </c>
      <c r="BN2">
        <f>REN_ERR_WOT</f>
        <v>0</v>
      </c>
      <c r="BO2">
        <f>REN_Expenditure_Amount_2014</f>
        <v>5675433</v>
      </c>
      <c r="BP2">
        <f>REN_Expenditure_Percent_2014</f>
        <v>2.2578328160545658E-2</v>
      </c>
      <c r="BQ2">
        <f>REN_Load_2012</f>
        <v>5203123.0913749952</v>
      </c>
      <c r="BR2">
        <f>REN_Load_2013</f>
        <v>5267369.4036152251</v>
      </c>
      <c r="BS2">
        <f>REN_REC_ApprenticeLabor</f>
        <v>17392</v>
      </c>
      <c r="BT2">
        <f>REN_REC_Biodiesel</f>
        <v>0</v>
      </c>
      <c r="BU2">
        <f>REN_REC_Biomass</f>
        <v>0</v>
      </c>
      <c r="BV2">
        <f>REN_REC_DistributedGeneration</f>
        <v>0</v>
      </c>
      <c r="BW2">
        <f>REN_REC_Geothermal</f>
        <v>0</v>
      </c>
      <c r="BX2">
        <f>REN_REC_LandfillGas</f>
        <v>0</v>
      </c>
      <c r="BY2">
        <f>REN_REC_SewageGas</f>
        <v>0</v>
      </c>
      <c r="BZ2">
        <f>REN_REC_Solar</f>
        <v>0</v>
      </c>
      <c r="CA2">
        <f>REN_REC_Wind</f>
        <v>133818</v>
      </c>
      <c r="CB2">
        <f>REN_REC_WOT</f>
        <v>0</v>
      </c>
      <c r="CC2">
        <f>REN_RetailRevenueRequirement_2014</f>
        <v>251366397</v>
      </c>
      <c r="CD2">
        <f>REN_Submittal_Date</f>
        <v>41790</v>
      </c>
      <c r="CE2">
        <f>REN_Total_2014</f>
        <v>157058</v>
      </c>
      <c r="CF2" t="str">
        <f>REN_Utility_Name</f>
        <v>Cowlitz County PUD</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schemas.microsoft.com/sharepoint/v3"/>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purl.org/dc/terms/"/>
    <ds:schemaRef ds:uri="59db5950-9a61-4c09-b3e2-fe6d472fba04"/>
    <ds:schemaRef ds:uri="63979cc8-f6b2-4ee6-8bed-630b6048d16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2014-05-23T18:16:43Z</cp:lastPrinted>
  <dcterms:created xsi:type="dcterms:W3CDTF">2012-03-20T21:01:26Z</dcterms:created>
  <dcterms:modified xsi:type="dcterms:W3CDTF">2014-07-14T18:15:27Z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