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5736" windowWidth="15384" windowHeight="5544" tabRatio="719" activeTab="3"/>
  </bookViews>
  <sheets>
    <sheet name="Instructions - 2014" sheetId="21" r:id="rId1"/>
    <sheet name="Instructions - Revise 2012" sheetId="20" r:id="rId2"/>
    <sheet name="Conservation Report" sheetId="18" r:id="rId3"/>
    <sheet name="Renewables Report" sheetId="16" r:id="rId4"/>
    <sheet name="Data" sheetId="19" state="hidden" r:id="rId5"/>
  </sheets>
  <externalReferences>
    <externalReference r:id="rId6"/>
  </externalReferences>
  <definedNames>
    <definedName name="CON_2012_Agriculture_Expend">'Conservation Report'!$E$20</definedName>
    <definedName name="CON_2012_Agriculture_MWH">'Conservation Report'!$D$20</definedName>
    <definedName name="CON_2012_Commercial_Expend">'Conservation Report'!$E$18</definedName>
    <definedName name="CON_2012_Commercial_MWH">'Conservation Report'!$D$18</definedName>
    <definedName name="CON_2012_Distribution_Expend">'Conservation Report'!$E$21</definedName>
    <definedName name="CON_2012_Distribution_MWH">'Conservation Report'!$D$21</definedName>
    <definedName name="CON_2012_Expenditures">'Conservation Report'!$E$29</definedName>
    <definedName name="CON_2012_Industrial_Expend">'Conservation Report'!$E$19</definedName>
    <definedName name="CON_2012_Industrial_MWH">'Conservation Report'!$D$19</definedName>
    <definedName name="CON_2012_MWH" localSheetId="0">'[1]Conservation Report'!$D$29</definedName>
    <definedName name="CON_2012_MWH">'Conservation Report'!$D$29</definedName>
    <definedName name="CON_2012_NEEA_Expend">'Conservation Report'!$E$23</definedName>
    <definedName name="CON_2012_NEEA_MWH">'Conservation Report'!$D$23</definedName>
    <definedName name="CON_2012_OtherSector1_Expend">'Conservation Report'!$E$24</definedName>
    <definedName name="CON_2012_OtherSector1_MWH">'Conservation Report'!$D$24</definedName>
    <definedName name="CON_2012_OtherSector2_Expend">'Conservation Report'!$E$25</definedName>
    <definedName name="CON_2012_OtherSector2_MWH">'Conservation Report'!$D$25</definedName>
    <definedName name="CON_2012_Production_Expend">'Conservation Report'!$E$22</definedName>
    <definedName name="CON_2012_Production_MWH">'Conservation Report'!$D$22</definedName>
    <definedName name="CON_2012_Program1_Expend">'Conservation Report'!$E$27</definedName>
    <definedName name="CON_2012_Program2_Expend">'Conservation Report'!$E$28</definedName>
    <definedName name="CON_2012_Residential_Expend">'Conservation Report'!$E$17</definedName>
    <definedName name="CON_2012_Residential_MWH">'Conservation Report'!$D$17</definedName>
    <definedName name="CON_2013_Agriculture_Expend">'Conservation Report'!$H$20</definedName>
    <definedName name="CON_2013_Agriculture_MWH">'Conservation Report'!$G$20</definedName>
    <definedName name="CON_2013_Commercial_Expend">'Conservation Report'!$H$18</definedName>
    <definedName name="CON_2013_Commercial_MWH">'Conservation Report'!$G$18</definedName>
    <definedName name="CON_2013_Distribution_Expend">'Conservation Report'!$H$21</definedName>
    <definedName name="CON_2013_Distribution_MWH">'Conservation Report'!$G$21</definedName>
    <definedName name="CON_2013_Expenditures">'Conservation Report'!$H$29</definedName>
    <definedName name="CON_2013_Industrial_Expend">'Conservation Report'!$H$19</definedName>
    <definedName name="CON_2013_Industrial_MWH">'Conservation Report'!$G$19</definedName>
    <definedName name="CON_2013_MWH" localSheetId="0">'[1]Conservation Report'!$G$29</definedName>
    <definedName name="CON_2013_MWH">'Conservation Report'!$G$29</definedName>
    <definedName name="CON_2013_NEEA_Expend">'Conservation Report'!$H$23</definedName>
    <definedName name="CON_2013_NEEA_MWH">'Conservation Report'!$G$23</definedName>
    <definedName name="CON_2013_OtherSector1_Expend">'Conservation Report'!$H$24</definedName>
    <definedName name="CON_2013_OtherSector1_MWH">'Conservation Report'!$G$24</definedName>
    <definedName name="CON_2013_OtherSector2_Expend">'Conservation Report'!$H$25</definedName>
    <definedName name="CON_2013_OtherSector2_MWH">'Conservation Report'!$G$25</definedName>
    <definedName name="CON_2013_Production_Expend">'Conservation Report'!$H$22</definedName>
    <definedName name="CON_2013_Production_MWH">'Conservation Report'!$G$22</definedName>
    <definedName name="CON_2013_Program1_Expend">'Conservation Report'!$H$27</definedName>
    <definedName name="CON_2013_Program2_Expend">'Conservation Report'!$H$28</definedName>
    <definedName name="CON_2013_Residential_Expend">'Conservation Report'!$H$17</definedName>
    <definedName name="CON_2013_Residential_MWH">'Conservation Report'!$G$17</definedName>
    <definedName name="CON_Contact_Name">'Conservation Report'!$C$5</definedName>
    <definedName name="CON_Email">'Conservation Report'!$C$7</definedName>
    <definedName name="CON_Phone">'Conservation Report'!$C$6</definedName>
    <definedName name="CON_Potential_2012_2021">'Conservation Report'!$B$12</definedName>
    <definedName name="CON_Potential_2014_2023">'Conservation Report'!$D$12</definedName>
    <definedName name="CON_Report_Date">'Conservation Report'!$C$4</definedName>
    <definedName name="CON_Target_2012_2013">'Conservation Report'!$C$12</definedName>
    <definedName name="CON_Target_2014_2015">'Conservation Report'!$E$12</definedName>
    <definedName name="CON_Utility_Name" localSheetId="0">'[1]Conservation Report'!$C$3:$E$3</definedName>
    <definedName name="CON_Utility_Name">'Conservation Report'!$C$3</definedName>
    <definedName name="_xlnm.Print_Area" localSheetId="2">'Conservation Report'!$A$1:$J$137</definedName>
    <definedName name="_xlnm.Print_Area" localSheetId="3">'Renewables Report'!$A$1:$O$150</definedName>
    <definedName name="REN_Contact_Name">'Renewables Report'!$C$5</definedName>
    <definedName name="REN_Email">'Renewables Report'!$C$7</definedName>
    <definedName name="REN_ERR_ApprenticeLabor">'Renewables Report'!$L$18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4">'Renewables Report'!$N$11</definedName>
    <definedName name="REN_Expenditure_Percent_2014">'Renewables Report'!$N$13</definedName>
    <definedName name="REN_Load_2012">'Renewables Report'!$N$3</definedName>
    <definedName name="REN_Load_2013">'Renewables Report'!$N$4</definedName>
    <definedName name="REN_REC_ApprenticeLabor">'Renewables Report'!$L$19</definedName>
    <definedName name="REN_REC_Biodiesel">'Renewables Report'!$J$19</definedName>
    <definedName name="REN_REC_Biomass">'Renewables Report'!$K$19</definedName>
    <definedName name="REN_REC_DistributedGeneration">'Renewables Report'!$M$19</definedName>
    <definedName name="REN_REC_Geothermal">'Renewables Report'!$F$19</definedName>
    <definedName name="REN_REC_LandfillGas">'Renewables Report'!$G$19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4">'Renewables Report'!$N$12</definedName>
    <definedName name="REN_Submittal_Date">'Renewables Report'!$C$4</definedName>
    <definedName name="REN_Total_2014">'Renewables Report'!$N$8</definedName>
    <definedName name="REN_Utility_Name">'Renewables Report'!$C$3</definedName>
    <definedName name="Target_2012_2013">'[1]Conservation Report'!$C$12</definedName>
    <definedName name="Target_2014_2015">'[1]Conservation Report'!$E$12</definedName>
  </definedNames>
  <calcPr calcId="145621" calcMode="autoNoTable"/>
</workbook>
</file>

<file path=xl/calcChain.xml><?xml version="1.0" encoding="utf-8"?>
<calcChain xmlns="http://schemas.openxmlformats.org/spreadsheetml/2006/main">
  <c r="E64" i="18" l="1"/>
  <c r="E114" i="18" l="1"/>
  <c r="D114" i="18"/>
  <c r="E116" i="18" l="1"/>
  <c r="E126" i="18" s="1"/>
  <c r="D116" i="18"/>
  <c r="D126" i="18" s="1"/>
  <c r="G114" i="18"/>
  <c r="G115" i="18"/>
  <c r="G126" i="18" l="1"/>
  <c r="G116" i="18"/>
  <c r="F85" i="16" l="1"/>
  <c r="E78" i="18" l="1"/>
  <c r="G21" i="18" l="1"/>
  <c r="E106" i="18"/>
  <c r="D106" i="18"/>
  <c r="D108" i="18" s="1"/>
  <c r="G105" i="18"/>
  <c r="G104" i="18"/>
  <c r="G103" i="18"/>
  <c r="G102" i="18"/>
  <c r="G101" i="18"/>
  <c r="G100" i="18"/>
  <c r="G99" i="18"/>
  <c r="G98" i="18"/>
  <c r="G97" i="18"/>
  <c r="G96" i="18"/>
  <c r="E87" i="18"/>
  <c r="E125" i="18" s="1"/>
  <c r="D87" i="18"/>
  <c r="D125" i="18" s="1"/>
  <c r="G86" i="18"/>
  <c r="G87" i="18" s="1"/>
  <c r="E83" i="18"/>
  <c r="D83" i="18"/>
  <c r="G82" i="18"/>
  <c r="G81" i="18"/>
  <c r="G80" i="18"/>
  <c r="G79" i="18"/>
  <c r="G78" i="18"/>
  <c r="E75" i="18"/>
  <c r="E123" i="18" s="1"/>
  <c r="D75" i="18"/>
  <c r="G74" i="18"/>
  <c r="G73" i="18"/>
  <c r="G72" i="18"/>
  <c r="G71" i="18"/>
  <c r="G70" i="18"/>
  <c r="G69" i="18"/>
  <c r="E66" i="18"/>
  <c r="D66" i="18"/>
  <c r="G65" i="18"/>
  <c r="G64" i="18"/>
  <c r="G63" i="18"/>
  <c r="G62" i="18"/>
  <c r="G61" i="18"/>
  <c r="G60" i="18"/>
  <c r="G59" i="18"/>
  <c r="G58" i="18"/>
  <c r="G57" i="18"/>
  <c r="G56" i="18"/>
  <c r="E122" i="18" l="1"/>
  <c r="G125" i="18"/>
  <c r="D19" i="18"/>
  <c r="D124" i="18"/>
  <c r="G17" i="18"/>
  <c r="E108" i="18"/>
  <c r="G66" i="18"/>
  <c r="D122" i="18"/>
  <c r="D18" i="18"/>
  <c r="D123" i="18"/>
  <c r="G123" i="18" s="1"/>
  <c r="G19" i="18"/>
  <c r="E124" i="18"/>
  <c r="G18" i="18"/>
  <c r="G106" i="18"/>
  <c r="G108" i="18" s="1"/>
  <c r="D17" i="18"/>
  <c r="E89" i="18"/>
  <c r="G75" i="18"/>
  <c r="G83" i="18"/>
  <c r="D89" i="18"/>
  <c r="N5" i="21"/>
  <c r="N5" i="20"/>
  <c r="N5" i="16"/>
  <c r="E127" i="18" l="1"/>
  <c r="G122" i="18"/>
  <c r="D127" i="18"/>
  <c r="G124" i="18"/>
  <c r="G89" i="18"/>
  <c r="A2" i="19"/>
  <c r="CF2" i="19"/>
  <c r="CD2" i="19"/>
  <c r="CC2" i="19"/>
  <c r="CB2" i="19"/>
  <c r="CA2" i="19"/>
  <c r="BZ2" i="19"/>
  <c r="BY2" i="19"/>
  <c r="BX2" i="19"/>
  <c r="BW2" i="19"/>
  <c r="BV2" i="19"/>
  <c r="BU2" i="19"/>
  <c r="BT2" i="19"/>
  <c r="BS2" i="19"/>
  <c r="BR2" i="19"/>
  <c r="BQ2" i="19"/>
  <c r="BO2" i="19"/>
  <c r="BN2" i="19"/>
  <c r="BM2" i="19"/>
  <c r="BL2" i="19"/>
  <c r="BK2" i="19"/>
  <c r="BJ2" i="19"/>
  <c r="BI2" i="19"/>
  <c r="BH2" i="19"/>
  <c r="BG2" i="19"/>
  <c r="BF2" i="19"/>
  <c r="BE2" i="19"/>
  <c r="BD2" i="19"/>
  <c r="BC2" i="19"/>
  <c r="BB2" i="19"/>
  <c r="BA2" i="19"/>
  <c r="AZ2" i="19"/>
  <c r="AY2" i="19"/>
  <c r="AX2" i="19"/>
  <c r="AW2" i="19"/>
  <c r="AV2" i="19"/>
  <c r="AU2" i="19"/>
  <c r="AT2" i="19"/>
  <c r="AS2" i="19"/>
  <c r="AR2" i="19"/>
  <c r="AQ2" i="19"/>
  <c r="AP2" i="19"/>
  <c r="AO2" i="19"/>
  <c r="AN2" i="19"/>
  <c r="AM2" i="19"/>
  <c r="AL2" i="19"/>
  <c r="AK2" i="19"/>
  <c r="AJ2" i="19"/>
  <c r="AI2" i="19"/>
  <c r="AH2" i="19"/>
  <c r="AF2" i="19"/>
  <c r="AE2" i="19"/>
  <c r="AC2" i="19"/>
  <c r="AB2" i="19"/>
  <c r="AA2" i="19"/>
  <c r="Z2" i="19"/>
  <c r="Y2" i="19"/>
  <c r="X2" i="19"/>
  <c r="W2" i="19"/>
  <c r="V2" i="19"/>
  <c r="U2" i="19"/>
  <c r="T2" i="19"/>
  <c r="S2" i="19"/>
  <c r="R2" i="19"/>
  <c r="Q2" i="19"/>
  <c r="P2" i="19"/>
  <c r="O2" i="19"/>
  <c r="N2" i="19"/>
  <c r="M2" i="19"/>
  <c r="L2" i="19"/>
  <c r="J2" i="19"/>
  <c r="I2" i="19"/>
  <c r="G2" i="19"/>
  <c r="F2" i="19"/>
  <c r="E2" i="19"/>
  <c r="D2" i="19"/>
  <c r="C2" i="19"/>
  <c r="G127" i="18" l="1"/>
  <c r="N13" i="16"/>
  <c r="BP2" i="19" s="1"/>
  <c r="D18" i="16" l="1"/>
  <c r="E18" i="16"/>
  <c r="F18" i="16"/>
  <c r="G18" i="16"/>
  <c r="H18" i="16"/>
  <c r="I18" i="16"/>
  <c r="J18" i="16"/>
  <c r="K18" i="16"/>
  <c r="J6" i="18" l="1"/>
  <c r="H6" i="18"/>
  <c r="C31" i="18"/>
  <c r="H29" i="18" l="1"/>
  <c r="AD2" i="19" s="1"/>
  <c r="G29" i="18"/>
  <c r="E29" i="18"/>
  <c r="H2" i="19" s="1"/>
  <c r="D29" i="18"/>
  <c r="K2" i="19" l="1"/>
  <c r="AG2" i="19"/>
  <c r="H7" i="18"/>
  <c r="H8" i="18" s="1"/>
  <c r="M19" i="16" l="1"/>
  <c r="M20" i="16" l="1"/>
  <c r="F98" i="16"/>
  <c r="L19" i="16"/>
  <c r="F66" i="16"/>
  <c r="F36" i="16"/>
  <c r="K19" i="16"/>
  <c r="J19" i="16"/>
  <c r="I19" i="16"/>
  <c r="H19" i="16"/>
  <c r="G19" i="16"/>
  <c r="F19" i="16"/>
  <c r="E19" i="16"/>
  <c r="C20" i="16"/>
  <c r="N7" i="16"/>
  <c r="F20" i="16" l="1"/>
  <c r="J20" i="16"/>
  <c r="E20" i="16"/>
  <c r="G20" i="16"/>
  <c r="I20" i="16"/>
  <c r="H20" i="16"/>
  <c r="L20" i="16"/>
  <c r="D20" i="16"/>
  <c r="K20" i="16"/>
  <c r="N8" i="16" l="1"/>
  <c r="B2" i="19" l="1"/>
  <c r="CE2" i="19"/>
</calcChain>
</file>

<file path=xl/sharedStrings.xml><?xml version="1.0" encoding="utf-8"?>
<sst xmlns="http://schemas.openxmlformats.org/spreadsheetml/2006/main" count="420" uniqueCount="325">
  <si>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</si>
  <si>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</si>
  <si>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</si>
  <si>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</si>
  <si>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</si>
  <si>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</si>
  <si>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</si>
  <si>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</si>
  <si>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</si>
  <si>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</si>
  <si>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</si>
  <si>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</si>
  <si>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</si>
  <si>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</si>
  <si>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</si>
  <si>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</si>
  <si>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</si>
  <si>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</si>
  <si>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</si>
  <si>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</si>
  <si>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</si>
  <si>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</si>
  <si>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</si>
  <si>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</si>
  <si>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</si>
  <si>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</si>
  <si>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</si>
  <si>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</si>
  <si>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</si>
  <si>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</si>
  <si>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</si>
  <si>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</si>
  <si>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</si>
  <si>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</si>
  <si>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</si>
  <si>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</si>
  <si>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2012 - 2013 Planning</t>
  </si>
  <si>
    <t>Conservation Notes:</t>
  </si>
  <si>
    <t xml:space="preserve"> Distribution Efficiency</t>
  </si>
  <si>
    <t xml:space="preserve"> Production Efficiency</t>
  </si>
  <si>
    <t>Renewable Resources</t>
  </si>
  <si>
    <t xml:space="preserve">Wave, Ocean, Tidal </t>
  </si>
  <si>
    <t>Wave, Ocean, Tidal</t>
  </si>
  <si>
    <t>Conservation by Sector</t>
  </si>
  <si>
    <t>2012 Annual Load (MWh)</t>
  </si>
  <si>
    <t>Eligible Renewable Resources (MWh)</t>
  </si>
  <si>
    <t>Renewable Energy Credits (MWh)</t>
  </si>
  <si>
    <t>Total Renewables (MWh)</t>
  </si>
  <si>
    <t>Loads and Resources</t>
  </si>
  <si>
    <t>2012 Achievement</t>
  </si>
  <si>
    <t>Target Year</t>
  </si>
  <si>
    <t>2012 - 2013 Target (MWh)</t>
  </si>
  <si>
    <t>Select</t>
  </si>
  <si>
    <t xml:space="preserve">19.285.040 (2)(b) Renewables Target </t>
  </si>
  <si>
    <t>19.285.040 (2)(d) No Load Growth</t>
  </si>
  <si>
    <t xml:space="preserve">19.285.050 Incremental Resource Cost  </t>
  </si>
  <si>
    <t>Eligible Renewables Acquisitions / Investments (MWh)</t>
  </si>
  <si>
    <t>2013 Annual Load (MWh)</t>
  </si>
  <si>
    <t>Average of 2012 &amp; 2013 Annual Loads (MWh)</t>
  </si>
  <si>
    <t>2014 Renewable Target (% of load)</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</si>
  <si>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2014</t>
    </r>
  </si>
  <si>
    <t>2014 Compliance Method:</t>
  </si>
  <si>
    <t>WREGIS ID</t>
  </si>
  <si>
    <t>REC Year</t>
  </si>
  <si>
    <t>MWh equiv.</t>
  </si>
  <si>
    <t>2014 Eligible Renewable Energy Target (MWh)</t>
  </si>
  <si>
    <t>Target (MWh)</t>
  </si>
  <si>
    <t>Achievement (MWh)</t>
  </si>
  <si>
    <t>Difference (MWh)</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</si>
  <si>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</si>
  <si>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</si>
  <si>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2013 Achievement</t>
  </si>
  <si>
    <t>2014 - 2015 Planning</t>
  </si>
  <si>
    <t>2014 - 2015 Target (MWh)</t>
  </si>
  <si>
    <t>2014-2023 Ten Year Potential (MWh)</t>
  </si>
  <si>
    <t>2012-2021 Ten Year Potential (MWh)</t>
  </si>
  <si>
    <r>
      <t>Description of Methodology:</t>
    </r>
    <r>
      <rPr>
        <b/>
        <sz val="10"/>
        <color theme="1"/>
        <rFont val="Arial"/>
        <family val="2"/>
      </rPr>
      <t xml:space="preserve">
</t>
    </r>
  </si>
  <si>
    <r>
      <rPr>
        <sz val="12"/>
        <color theme="1"/>
        <rFont val="Arial"/>
        <family val="2"/>
      </rPr>
      <t xml:space="preserve">Energy Independence Act (I-937) </t>
    </r>
    <r>
      <rPr>
        <sz val="12"/>
        <color theme="1"/>
        <rFont val="Arial Black"/>
        <family val="2"/>
      </rPr>
      <t>Conservation Report 2014</t>
    </r>
  </si>
  <si>
    <t>Documentation of the calculation and inputs for percentage of revenue requirement invested in renewables:</t>
  </si>
  <si>
    <t>Other notes and explanations:</t>
  </si>
  <si>
    <t>Biennial</t>
  </si>
  <si>
    <t>2012-2013</t>
  </si>
  <si>
    <t>2014-2015</t>
  </si>
  <si>
    <t>Contact Name/Dept</t>
  </si>
  <si>
    <t>Report Date</t>
  </si>
  <si>
    <t>Summary of Achievement and Targets</t>
  </si>
  <si>
    <t>     (j)</t>
  </si>
  <si>
    <t>     (k)</t>
  </si>
  <si>
    <t>CON_2012_Agriculture_Expend</t>
  </si>
  <si>
    <t>CON_2012_Agriculture_MWH</t>
  </si>
  <si>
    <t>CON_2012_Commercial_Expend</t>
  </si>
  <si>
    <t>CON_2012_Commercial_MWH</t>
  </si>
  <si>
    <t>CON_2012_Distribution_Expend</t>
  </si>
  <si>
    <t>CON_2012_Distribution_MWH</t>
  </si>
  <si>
    <t>CON_2012_Expenditures</t>
  </si>
  <si>
    <t>CON_2012_Industrial_Expend</t>
  </si>
  <si>
    <t>CON_2012_Industrial_MWH</t>
  </si>
  <si>
    <t>CON_2012_MWH</t>
  </si>
  <si>
    <t>CON_2012_NEEA_Expend</t>
  </si>
  <si>
    <t>CON_2012_NEEA_MWH</t>
  </si>
  <si>
    <t>CON_2012_OtherSector1_Expend</t>
  </si>
  <si>
    <t>CON_2012_OtherSector1_MWH</t>
  </si>
  <si>
    <t>CON_2012_OtherSector2_Expend</t>
  </si>
  <si>
    <t>CON_2012_OtherSector2_MWH</t>
  </si>
  <si>
    <t>CON_2012_Production_Expend</t>
  </si>
  <si>
    <t>CON_2012_Production_MWH</t>
  </si>
  <si>
    <t>CON_2012_Program1_Expend</t>
  </si>
  <si>
    <t>CON_2012_Program2_Expend</t>
  </si>
  <si>
    <t>CON_2012_Residential_Expend</t>
  </si>
  <si>
    <t>CON_2012_Residential_MWH</t>
  </si>
  <si>
    <t>CON_2013_Agriculture_Expend</t>
  </si>
  <si>
    <t>CON_2013_Agriculture_MWH</t>
  </si>
  <si>
    <t>CON_2013_Commercial_Expend</t>
  </si>
  <si>
    <t>CON_2013_Commercial_MWH</t>
  </si>
  <si>
    <t>CON_2013_Distribution_Expend</t>
  </si>
  <si>
    <t>CON_2013_Distribution_MWH</t>
  </si>
  <si>
    <t>CON_2013_Expenditures</t>
  </si>
  <si>
    <t>CON_2013_Industrial_Expend</t>
  </si>
  <si>
    <t>CON_2013_Industrial_MWH</t>
  </si>
  <si>
    <t>CON_2013_MWH</t>
  </si>
  <si>
    <t>CON_2013_NEEA_Expend</t>
  </si>
  <si>
    <t>CON_2013_NEEA_MWH</t>
  </si>
  <si>
    <t>CON_2013_OtherSector1_Expend</t>
  </si>
  <si>
    <t>CON_2013_OtherSector1_MWH</t>
  </si>
  <si>
    <t>CON_2013_OtherSector2_Expend</t>
  </si>
  <si>
    <t>CON_2013_OtherSector2_MWH</t>
  </si>
  <si>
    <t>CON_2013_Production_Expend</t>
  </si>
  <si>
    <t>CON_2013_Production_MWH</t>
  </si>
  <si>
    <t>CON_2013_Program1_Expend</t>
  </si>
  <si>
    <t>CON_2013_Program2_Expend</t>
  </si>
  <si>
    <t>CON_2013_Residential_Expend</t>
  </si>
  <si>
    <t>CON_2013_Residential_MWH</t>
  </si>
  <si>
    <t>CON_Contact_Name</t>
  </si>
  <si>
    <t>CON_Email</t>
  </si>
  <si>
    <t>CON_Phone</t>
  </si>
  <si>
    <t>CON_Report_Date</t>
  </si>
  <si>
    <t>CON_Utility_Name</t>
  </si>
  <si>
    <t>REN_Contact_Name</t>
  </si>
  <si>
    <t>REN_Email</t>
  </si>
  <si>
    <t>REN_Submittal_Date</t>
  </si>
  <si>
    <t>REN_Utility_Name</t>
  </si>
  <si>
    <t>CON_Potential_2012_2021</t>
  </si>
  <si>
    <t>CON_Potential_2014_2023</t>
  </si>
  <si>
    <t>CON_Target_2012_2013</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</si>
  <si>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</si>
  <si>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</si>
  <si>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</si>
  <si>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</si>
  <si>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</si>
  <si>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</si>
  <si>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</si>
  <si>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</si>
  <si>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</si>
  <si>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</si>
  <si>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</si>
  <si>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REN_Load_2012</t>
  </si>
  <si>
    <t>REN_Load_2013</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</si>
  <si>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</si>
  <si>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</si>
  <si>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</si>
  <si>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</si>
  <si>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</si>
  <si>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</si>
  <si>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</si>
  <si>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</si>
  <si>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</si>
  <si>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</si>
  <si>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</si>
  <si>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Expenditures on Renewable Resources and RECs - 2014</t>
  </si>
  <si>
    <t>Investment in renewables and RECs as a percent of retail revenue requirement</t>
  </si>
  <si>
    <t>REN_Expenditure_Amount_2014</t>
  </si>
  <si>
    <t>REN_Expenditure_Percent_2014</t>
  </si>
  <si>
    <t>REN_RetailRevenueRequirement_2014</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</si>
  <si>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2014.</t>
    </r>
  </si>
  <si>
    <t>REN_Total_2014</t>
  </si>
  <si>
    <t>Total annual retail revenue requirement - 2014</t>
  </si>
  <si>
    <t>RENEWABLE ENERGY WORKSHEET – REVISIONS TO 2012 REPORT</t>
  </si>
  <si>
    <t xml:space="preserve">Please use the 2012 template and mark it as revised. Contact Commerce to obtain a copy of the 2012 reporting template if necessary. </t>
  </si>
  <si>
    <r>
      <t xml:space="preserve">Energy Independence Act (I-937) </t>
    </r>
    <r>
      <rPr>
        <sz val="11"/>
        <color rgb="FF000000"/>
        <rFont val="Arial Black"/>
        <family val="2"/>
      </rPr>
      <t>Report Workbook Instructions</t>
    </r>
  </si>
  <si>
    <r>
      <t>Deadline:</t>
    </r>
    <r>
      <rPr>
        <sz val="11"/>
        <color rgb="FF000000"/>
        <rFont val="Arial"/>
        <family val="2"/>
      </rPr>
      <t xml:space="preserve"> Friday, June 1, 2014</t>
    </r>
  </si>
  <si>
    <r>
      <t>Submission:</t>
    </r>
    <r>
      <rPr>
        <sz val="11"/>
        <color rgb="FF000000"/>
        <rFont val="Arial"/>
        <family val="2"/>
      </rPr>
      <t xml:space="preserve"> Email this Workbook and all supporting documentation to </t>
    </r>
    <r>
      <rPr>
        <b/>
        <sz val="11"/>
        <color rgb="FF993300"/>
        <rFont val="Arial"/>
        <family val="2"/>
      </rPr>
      <t xml:space="preserve">EIA@commerce.wa.gov </t>
    </r>
  </si>
  <si>
    <r>
      <t>Questions:</t>
    </r>
    <r>
      <rPr>
        <sz val="11"/>
        <color rgb="FF000000"/>
        <rFont val="Arial"/>
        <family val="2"/>
      </rPr>
      <t xml:space="preserve"> Glenn Blackmon, State Energy Office, (360) 725-3115</t>
    </r>
  </si>
  <si>
    <t xml:space="preserve">The Energy Independence Act (EIA) “RCW 19.285.070, Reporting and public disclosure” requires each qualifying utility to submit an annual report describing compliance with the law. </t>
  </si>
  <si>
    <t>This template implements the public reporting requirement. Additional documentation may be necessary to demonstrate full compliance with EIA. The EIA reports will be made available to the public via Commerce’s website, http://www.commerce.wa.gov/eia.</t>
  </si>
  <si>
    <r>
      <t xml:space="preserve">Excel Report Workbook: </t>
    </r>
    <r>
      <rPr>
        <sz val="11"/>
        <color rgb="FF000000"/>
        <rFont val="Arial"/>
        <family val="2"/>
      </rPr>
      <t xml:space="preserve">Contains one worksheet for Renewables and one for Conservation. </t>
    </r>
  </si>
  <si>
    <r>
      <t xml:space="preserve">Each worksheet includes formulas for drawing results from input. Gray areas are for data input. Yellow areas are supported by formulas and require no inputs. In some cases you will want to skip over a yellow section because it summarizes detailed data that follow. The workbook requests numeric summaries as well as narratives and supporting notes. Commerce relies on the utilities to provide enough detail in the written section to ensure members of the public understand the data provided. </t>
    </r>
    <r>
      <rPr>
        <b/>
        <sz val="11"/>
        <color rgb="FF000000"/>
        <rFont val="Arial"/>
        <family val="2"/>
      </rPr>
      <t>Please submit this Workbook in Excel format (i.e., do not submit in PDF format).</t>
    </r>
  </si>
  <si>
    <r>
      <t>Attachments:</t>
    </r>
    <r>
      <rPr>
        <sz val="11"/>
        <color rgb="FF000000"/>
        <rFont val="Arial"/>
        <family val="2"/>
      </rPr>
      <t xml:space="preserve"> If you provide supporting documentation, Commerce will post that material along with your Excel Workbook. Please provide a reference to any attachments in the Excel workbook.</t>
    </r>
  </si>
  <si>
    <t>CONSERVATION WORKSHEET</t>
  </si>
  <si>
    <r>
      <t xml:space="preserve">Reporting Context: </t>
    </r>
    <r>
      <rPr>
        <sz val="11"/>
        <color rgb="FF000000"/>
        <rFont val="Arial"/>
        <family val="2"/>
      </rPr>
      <t xml:space="preserve">The conservation report includes two elements: </t>
    </r>
  </si>
  <si>
    <t>(1) a report of conservation achievement in the prior (2012-2013) biennial period relative to the targets established by the utility for that period.</t>
  </si>
  <si>
    <t>(2) a report of the utility’s 10-year conservation potential and biennial target for the 2014-2015 period.</t>
  </si>
  <si>
    <r>
      <t>Planning:</t>
    </r>
    <r>
      <rPr>
        <sz val="11"/>
        <color rgb="FF000000"/>
        <rFont val="Arial"/>
        <family val="2"/>
      </rPr>
      <t xml:space="preserve"> </t>
    </r>
  </si>
  <si>
    <r>
      <t>·</t>
    </r>
    <r>
      <rPr>
        <sz val="7"/>
        <color rgb="FF000000"/>
        <rFont val="Times New Roman"/>
        <family val="1"/>
      </rPr>
      <t xml:space="preserve">         </t>
    </r>
    <r>
      <rPr>
        <sz val="11"/>
        <color rgb="FF000000"/>
        <rFont val="Arial"/>
        <family val="2"/>
      </rPr>
      <t xml:space="preserve">For the period starting January 2012, report the utility’s 10-year potential and two-year target. </t>
    </r>
    <r>
      <rPr>
        <i/>
        <sz val="11"/>
        <color rgb="FF000000"/>
        <rFont val="Arial"/>
        <family val="2"/>
      </rPr>
      <t>If the 2012-2013 target is different from the value in the utility’s June 1, 2013, report, please provide an explanation of the difference in the Conservation Notes section.</t>
    </r>
    <r>
      <rPr>
        <sz val="11"/>
        <color rgb="FF000000"/>
        <rFont val="Arial"/>
        <family val="2"/>
      </rPr>
      <t xml:space="preserve">  </t>
    </r>
  </si>
  <si>
    <r>
      <t>·</t>
    </r>
    <r>
      <rPr>
        <sz val="7"/>
        <color rgb="FF000000"/>
        <rFont val="Times New Roman"/>
        <family val="1"/>
      </rPr>
      <t xml:space="preserve">         </t>
    </r>
    <r>
      <rPr>
        <sz val="11"/>
        <color rgb="FF000000"/>
        <rFont val="Arial"/>
        <family val="2"/>
      </rPr>
      <t>For the period starting in 2014, report the utility’s 10-year potential and two-year target as established by the utility by January 1, 2014.</t>
    </r>
  </si>
  <si>
    <r>
      <t>Achievement:</t>
    </r>
    <r>
      <rPr>
        <sz val="11"/>
        <color rgb="FF000000"/>
        <rFont val="Arial"/>
        <family val="2"/>
      </rPr>
      <t xml:space="preserve"> Report electric energy savings and conservation program cost in this section. The report shall include total electricity savings and cost by customer sector (residential, commercial, industrial, and agricultural), by production efficiencies, and by distribution efficiencies. The sectors listed are per WAC 194-37-060. Because it is a major category, we have listed NEEA separately.</t>
    </r>
  </si>
  <si>
    <t>Blank rows have been provided under sector-specific achievement and expenditures. If a utility summarizes data differently, or includes additional sector categories, it must add a sector name and enter the values. This may apply to investor-owned utilities that divide sectors differently. This may also be necessary to account for third-party programs, federal and state efficiency standards, or codes.</t>
  </si>
  <si>
    <r>
      <t>Conservation Expenditures NOT included in Sector Expenditures:</t>
    </r>
    <r>
      <rPr>
        <sz val="11"/>
        <color rgb="FF000000"/>
        <rFont val="Arial"/>
        <family val="2"/>
      </rPr>
      <t xml:space="preserve"> Some utilities have indicated they do not break down expenditures on staff, overhead, information services or other conservation- related expenses by sector. If that is the case, provide additional cost-related information in this section of the worksheet. Do not include energy savings estimates in this section.</t>
    </r>
  </si>
  <si>
    <r>
      <t>Methodology:</t>
    </r>
    <r>
      <rPr>
        <sz val="11"/>
        <color rgb="FF000000"/>
        <rFont val="Arial"/>
        <family val="2"/>
      </rPr>
      <t xml:space="preserve"> Describe the methodology used to establish the utility's ten-year potential and biennial targets for the period beginning January 1, 2014. Utilities are expected to provide sufficient detail for full public disclosure. We recommend you reference any detailed plans as approved by consumer owned utility governing authorities or investor owned utility regulators. Include web site addresses and utility contact information for referenced documentation. Planning and decision documents may be included as attachments.</t>
    </r>
  </si>
  <si>
    <t>Utilities should specifically state which of the three methods described in WAC 194-37-070, as the rule existed when the utility established its target in 2013. (WAC 194-37-070 was amended in February 2014.) The three methods are:</t>
  </si>
  <si>
    <r>
      <t>·</t>
    </r>
    <r>
      <rPr>
        <sz val="7"/>
        <color rgb="FF000000"/>
        <rFont val="Times New Roman"/>
        <family val="1"/>
      </rPr>
      <t xml:space="preserve">         </t>
    </r>
    <r>
      <rPr>
        <sz val="11"/>
        <color rgb="FF000000"/>
        <rFont val="Arial"/>
        <family val="2"/>
      </rPr>
      <t>Conservation Calculator Option: WAC 194-37-070(4).</t>
    </r>
  </si>
  <si>
    <r>
      <t>·</t>
    </r>
    <r>
      <rPr>
        <sz val="7"/>
        <color rgb="FF000000"/>
        <rFont val="Times New Roman"/>
        <family val="1"/>
      </rPr>
      <t xml:space="preserve">         </t>
    </r>
    <r>
      <rPr>
        <sz val="11"/>
        <color rgb="FF000000"/>
        <rFont val="Arial"/>
        <family val="2"/>
      </rPr>
      <t>Modified Conservation Calculator Option: WAC 194-37-070(5).</t>
    </r>
  </si>
  <si>
    <r>
      <t>·</t>
    </r>
    <r>
      <rPr>
        <sz val="7"/>
        <color rgb="FF000000"/>
        <rFont val="Times New Roman"/>
        <family val="1"/>
      </rPr>
      <t xml:space="preserve">         </t>
    </r>
    <r>
      <rPr>
        <sz val="11"/>
        <color rgb="FF000000"/>
        <rFont val="Arial"/>
        <family val="2"/>
      </rPr>
      <t>Utility Analysis Option: WAC 194-37-070(6).</t>
    </r>
  </si>
  <si>
    <r>
      <t xml:space="preserve">Conservation Notes: </t>
    </r>
    <r>
      <rPr>
        <sz val="11"/>
        <color rgb="FF000000"/>
        <rFont val="Arial"/>
        <family val="2"/>
      </rPr>
      <t>At the end of this worksheet you will find a text box called “Conservation Notes”. This is a place for any additional explanatory statements, web links or references the utility would like to include.</t>
    </r>
  </si>
  <si>
    <t>RENEWABLE ENERGY WORKSHEET</t>
  </si>
  <si>
    <t>This worksheet covers the renewable energy reporting requirements that apply to all qualifying utilities, regardless of its method of compliance. A utility electing to comply using the “no load growth” approach or the “cost cap” approach must submit additional documentation.</t>
  </si>
  <si>
    <r>
      <t>Reporting Context:</t>
    </r>
    <r>
      <rPr>
        <sz val="11"/>
        <color rgb="FF000000"/>
        <rFont val="Arial"/>
        <family val="2"/>
      </rPr>
      <t xml:space="preserve"> The June 1, 2014 renewable energy report summarizes the eligible renewables resource and renewable energy credits that the utility has acquired and or has under contract by January 1, 2014. This describes the renewables acquisitions and investments made prior to the beginning of the target year to meet the requirements of the EIA. </t>
    </r>
  </si>
  <si>
    <r>
      <t xml:space="preserve">Worksheet Organization: </t>
    </r>
    <r>
      <rPr>
        <sz val="11"/>
        <color rgb="FF000000"/>
        <rFont val="Arial"/>
        <family val="2"/>
      </rPr>
      <t>The first page of the renewables worksheet includes targets and summarizes detailed reporting from pages 2 and 3. Page 2 provides facility level reporting for renewable resources. Page 3 provides facility level reporting for renewable energy credits. Page 4 provides a text box where the utility may include explanatory statements, references or web links to supporting information.</t>
    </r>
  </si>
  <si>
    <r>
      <t>Compliance Method:</t>
    </r>
    <r>
      <rPr>
        <sz val="11"/>
        <color rgb="FF000000"/>
        <rFont val="Arial"/>
        <family val="2"/>
      </rPr>
      <t xml:space="preserve"> Select one or more of the three compliance methods that the utility intends to use. The EIA provides three compliance methods. A utility must make that determination by January 1, 2014 and must include information establishing its compliance method in this report.</t>
    </r>
  </si>
  <si>
    <t>Expenditures [NEW for 2014]</t>
  </si>
  <si>
    <t>Utilities must report the percentage of retail revenue requirement invested in the incremental cost of eligible renewable resources and the cost of renewable energy credits. No specific method of calculating this percentage is required, but each utility must include in its report documentation of the calculations and inputs to this amount. WAC 194-37-110, effective 2/24/2014.</t>
  </si>
  <si>
    <r>
      <t xml:space="preserve">Note for Investor Owned Utilities (IOUs): </t>
    </r>
    <r>
      <rPr>
        <sz val="11"/>
        <color rgb="FF993300"/>
        <rFont val="Arial"/>
        <family val="2"/>
      </rPr>
      <t>Details on page 2 and 3 are designed to meet reporting requirements for consumer-owned utilities. The Utilities and Transportation Commission and IOUs have developed their own report form that details renewable energy achievements. Commerce requests that IOUs complete page 1 of the renewable worksheet, including rows 21 and 22. When completed, Commerce will attach the reports provided under 480-109-040 WAC to complete the details.</t>
    </r>
  </si>
  <si>
    <r>
      <t xml:space="preserve">[Page 2] Renewable Resources: </t>
    </r>
    <r>
      <rPr>
        <sz val="11"/>
        <color rgb="FF000000"/>
        <rFont val="Arial"/>
        <family val="2"/>
      </rPr>
      <t>This table provides reporting of renewable resource generation (MWh) by facility and renewable energy type. It includes facility level entries for additional credits for Apprentice Labor, where applicable. For each facility, enter the renewable energy generation in the appropriate column by type. If generation is eligible for Apprentice Labor credits enter the amount in the appropriate column. For example, a wind facility meeting the apprentice labor requirements will report wind generation in column E and apprentice labor MWh equivalents in column l.</t>
    </r>
  </si>
  <si>
    <r>
      <t>[Page 3] Renewable Energy Credits:</t>
    </r>
    <r>
      <rPr>
        <sz val="11"/>
        <color rgb="FF000000"/>
        <rFont val="Arial"/>
        <family val="2"/>
      </rPr>
      <t xml:space="preserve"> This table provides reporting of renewable energy credits (one REC represents one MWh) by facility and renewable energy type. It includes facility level entries for Apprentice Labor and Distributed Generation credits. Report the facility name, the WREGIS generating unit identification number (GUID) and the vintage of the renewable energy credits (RECs). For facilities where RECs from two different years from the same facility are used, provide two rows for entry.</t>
    </r>
  </si>
  <si>
    <t>Additional reporting for compliance option 19.285.040(2)(d), “no load growth”</t>
  </si>
  <si>
    <t>Utilities electing to comply using the no-load growth method should attach a separate report with the data elements specified in WAC 194-37-110(5), effective 2/24/2014. Investor owned utilities should provide a summary of documentation required by the Utilities and Transportation Commission.</t>
  </si>
  <si>
    <t>Additional reporting for compliance option RCW 19.285.050, “cost cap”</t>
  </si>
  <si>
    <t>Utilities electing to comply using the cost cap method should attach a separate report with the data elements specified in WAC 194-37-110(4), effective 2/24/2014. Investor owned utilities should provide a summary of documentation required by the Utilities and Transportation Commission.</t>
  </si>
  <si>
    <r>
      <t>[Page 4] Notes:</t>
    </r>
    <r>
      <rPr>
        <sz val="11"/>
        <color rgb="FF000000"/>
        <rFont val="Arial"/>
        <family val="2"/>
      </rPr>
      <t xml:space="preserve"> Provide any additional information needed to support your renewables data.</t>
    </r>
  </si>
  <si>
    <r>
      <t xml:space="preserve">In addition to submitting the 2014 report, each qualifying utility should review the report it submitted in 2012. In many cases, the specific resources and quantities actually used to comply with the 2012 target differ from what the utility reported in June 2012. </t>
    </r>
    <r>
      <rPr>
        <u/>
        <sz val="11"/>
        <color theme="1"/>
        <rFont val="Arial"/>
        <family val="2"/>
      </rPr>
      <t>Utilities should submit a revised 2012 report if the actual values differ from the values reported in 2012.</t>
    </r>
    <r>
      <rPr>
        <sz val="11"/>
        <color theme="1"/>
        <rFont val="Arial"/>
        <family val="2"/>
      </rPr>
      <t xml:space="preserve"> </t>
    </r>
  </si>
  <si>
    <t>Revised 5/1/2014</t>
  </si>
  <si>
    <t>Tacoma Power</t>
  </si>
  <si>
    <t>Jeff Stafford</t>
  </si>
  <si>
    <t>(253) 502-8940</t>
  </si>
  <si>
    <t>jstafford@cityofTacoma.org</t>
  </si>
  <si>
    <t>TACOMA POWER I-937 ALTERNATIVE REPORT SUMMARY</t>
  </si>
  <si>
    <t>Savings Reported (kWhs) to BPA via IS 2.0 by Sector and Program</t>
  </si>
  <si>
    <t>Program</t>
  </si>
  <si>
    <t>Residential Savings</t>
  </si>
  <si>
    <t>Appliance Recycling</t>
  </si>
  <si>
    <t>CFLs</t>
  </si>
  <si>
    <t>Clothes Washers</t>
  </si>
  <si>
    <t>Fixtures</t>
  </si>
  <si>
    <t>Refrigerators</t>
  </si>
  <si>
    <t>Showerheads</t>
  </si>
  <si>
    <t>Low Income HVAC</t>
  </si>
  <si>
    <t>Low Income Weatherization</t>
  </si>
  <si>
    <t>Non-Low Income HVAC</t>
  </si>
  <si>
    <t>Non-Low Income Weatherization</t>
  </si>
  <si>
    <t>Total Residential Savings Reported in is 2.0</t>
  </si>
  <si>
    <t>Commercial Savings</t>
  </si>
  <si>
    <t>Bright Rebates</t>
  </si>
  <si>
    <t>Compressed Air</t>
  </si>
  <si>
    <t>Custom Retrofit</t>
  </si>
  <si>
    <t>Equipment Rebates</t>
  </si>
  <si>
    <t>New Construction</t>
  </si>
  <si>
    <t>Energy Smart Grocer</t>
  </si>
  <si>
    <t>Total Commercial Savings Reported in is 2.0</t>
  </si>
  <si>
    <t>Industrial Savings</t>
  </si>
  <si>
    <t>Energy Management</t>
  </si>
  <si>
    <t>Total Industrial Savings Reported in is 2.0</t>
  </si>
  <si>
    <t>Distribution Efficiency Savings</t>
  </si>
  <si>
    <t>Voltage Optimization</t>
  </si>
  <si>
    <t>Total Distribution Efficiency Savings Reported in is 2.0</t>
  </si>
  <si>
    <t>Total Savings Reported to BPA</t>
  </si>
  <si>
    <t>ALTERNATIVE SAVINGS</t>
  </si>
  <si>
    <t>Residential Alternative Savings</t>
  </si>
  <si>
    <r>
      <t>Appliance Recycling</t>
    </r>
    <r>
      <rPr>
        <vertAlign val="subscript"/>
        <sz val="10"/>
        <color theme="1"/>
        <rFont val="Arial"/>
        <family val="2"/>
      </rPr>
      <t>1</t>
    </r>
  </si>
  <si>
    <r>
      <t>CFLs</t>
    </r>
    <r>
      <rPr>
        <vertAlign val="subscript"/>
        <sz val="10"/>
        <color theme="1"/>
        <rFont val="Arial"/>
        <family val="2"/>
      </rPr>
      <t>2</t>
    </r>
  </si>
  <si>
    <r>
      <t>Clothes Washers</t>
    </r>
    <r>
      <rPr>
        <vertAlign val="subscript"/>
        <sz val="10"/>
        <color theme="1"/>
        <rFont val="Arial"/>
        <family val="2"/>
      </rPr>
      <t>3</t>
    </r>
  </si>
  <si>
    <r>
      <t>Fixtures</t>
    </r>
    <r>
      <rPr>
        <vertAlign val="subscript"/>
        <sz val="10"/>
        <color theme="1"/>
        <rFont val="Arial"/>
        <family val="2"/>
      </rPr>
      <t>3</t>
    </r>
  </si>
  <si>
    <r>
      <t>Refrigerators</t>
    </r>
    <r>
      <rPr>
        <vertAlign val="subscript"/>
        <sz val="10"/>
        <color theme="1"/>
        <rFont val="Arial"/>
        <family val="2"/>
      </rPr>
      <t>4</t>
    </r>
  </si>
  <si>
    <r>
      <t>Showerheads</t>
    </r>
    <r>
      <rPr>
        <vertAlign val="subscript"/>
        <sz val="10"/>
        <color theme="1"/>
        <rFont val="Arial"/>
        <family val="2"/>
      </rPr>
      <t>5</t>
    </r>
  </si>
  <si>
    <r>
      <t>Low Income HVAC</t>
    </r>
    <r>
      <rPr>
        <vertAlign val="subscript"/>
        <sz val="10"/>
        <color theme="1"/>
        <rFont val="Arial"/>
        <family val="2"/>
      </rPr>
      <t>6</t>
    </r>
  </si>
  <si>
    <r>
      <t>Low Income Weatherization</t>
    </r>
    <r>
      <rPr>
        <vertAlign val="subscript"/>
        <sz val="10"/>
        <color theme="1"/>
        <rFont val="Arial"/>
        <family val="2"/>
      </rPr>
      <t>7</t>
    </r>
  </si>
  <si>
    <r>
      <t>Non-Low Income HVAC</t>
    </r>
    <r>
      <rPr>
        <vertAlign val="subscript"/>
        <sz val="10"/>
        <color theme="1"/>
        <rFont val="Arial"/>
        <family val="2"/>
      </rPr>
      <t>8</t>
    </r>
  </si>
  <si>
    <r>
      <t>Non-Low Income Weatherization</t>
    </r>
    <r>
      <rPr>
        <vertAlign val="subscript"/>
        <sz val="10"/>
        <color theme="1"/>
        <rFont val="Arial"/>
        <family val="2"/>
      </rPr>
      <t>7</t>
    </r>
  </si>
  <si>
    <t>Total Residential Alternative Savings</t>
  </si>
  <si>
    <t>Mossyrock Rebuild</t>
  </si>
  <si>
    <t>Improved Turbine Efficiency</t>
  </si>
  <si>
    <t>Reduced Wicket Gate Leakage</t>
  </si>
  <si>
    <t>Improved Transofrmer Efficiency</t>
  </si>
  <si>
    <t>Cushman No. 2</t>
  </si>
  <si>
    <t xml:space="preserve">               Reduced Butterfly Leakage</t>
  </si>
  <si>
    <t xml:space="preserve">                              Cushman No. 3</t>
  </si>
  <si>
    <t xml:space="preserve">                                            Unit 34</t>
  </si>
  <si>
    <t xml:space="preserve">                                            Unit 35</t>
  </si>
  <si>
    <t xml:space="preserve">                       Lagrande Unit No. 6</t>
  </si>
  <si>
    <t>Wanupum Development  (GPUD)</t>
  </si>
  <si>
    <t>Juvenile Fish By-Pass System</t>
  </si>
  <si>
    <r>
      <t xml:space="preserve">        </t>
    </r>
    <r>
      <rPr>
        <b/>
        <sz val="10"/>
        <color theme="1"/>
        <rFont val="Arial"/>
        <family val="2"/>
      </rPr>
      <t>BPA Tier I REC Contract (2013)</t>
    </r>
  </si>
  <si>
    <t>W238</t>
  </si>
  <si>
    <t xml:space="preserve">                                        Klondike I</t>
  </si>
  <si>
    <t xml:space="preserve">                                      Klondike III</t>
  </si>
  <si>
    <t>W237</t>
  </si>
  <si>
    <t xml:space="preserve">                                         Stateline</t>
  </si>
  <si>
    <t>W248</t>
  </si>
  <si>
    <t xml:space="preserve">                                         Condon I</t>
  </si>
  <si>
    <t>W774</t>
  </si>
  <si>
    <t xml:space="preserve">                                        Condon II</t>
  </si>
  <si>
    <t>W833</t>
  </si>
  <si>
    <t xml:space="preserve">               Calendar Year Total 2013 </t>
  </si>
  <si>
    <t xml:space="preserve">         Iberdrola REC Contract 2013</t>
  </si>
  <si>
    <t>W542</t>
  </si>
  <si>
    <t>W543</t>
  </si>
  <si>
    <t xml:space="preserve">              Calendar Year Total 2013</t>
  </si>
  <si>
    <t xml:space="preserve">                                     Hot Springs</t>
  </si>
  <si>
    <t xml:space="preserve">                                 Bennett Creek</t>
  </si>
  <si>
    <t xml:space="preserve">                           Carryover to 2015</t>
  </si>
  <si>
    <t xml:space="preserve">             Applied to 2013 Compliance</t>
  </si>
  <si>
    <t>NEEA Savings</t>
  </si>
  <si>
    <t>NEEA Direct Funded Savings</t>
  </si>
  <si>
    <t>NEEA Indirect Funded Savings</t>
  </si>
  <si>
    <t>Total NEEA Savings</t>
  </si>
  <si>
    <t>Total Alternative Savings</t>
  </si>
  <si>
    <t>NEEA</t>
  </si>
  <si>
    <t>Total Residential</t>
  </si>
  <si>
    <t>Total Commercial</t>
  </si>
  <si>
    <t>Total Industrial</t>
  </si>
  <si>
    <t>Total NEEA</t>
  </si>
  <si>
    <t>Total Tacoma Power Savings</t>
  </si>
  <si>
    <t>Tacoma Power Savings</t>
  </si>
  <si>
    <t>Total Distribution Efficiency</t>
  </si>
  <si>
    <t>1. The CPA deemed savings for Refrigerator Decommissioning (RRERE10925) was established at 904 kWh versus the BPA deemed savings of 482 kWh. The deemed savings claimed for this measure are consistent with the CPA. The Freezer Decommissioning (RREFR10881) measure was not considered in the CPA and therefore excluded from the savings claimed to the State.</t>
  </si>
  <si>
    <t xml:space="preserve">2. The difference in savings is due the deration of BPA deemed savings for standard and specialty CFLs. The CPA established savings for a CFL was set at 24 kWh and that is what is being claimed to the state. </t>
  </si>
  <si>
    <t>3. Clothes washer measures with a Modified Energy Factor of 2.7 or higher were not considered in the CPA and therefore excluded from the savings claimed to the State.</t>
  </si>
  <si>
    <t>4. The CPA deemed savings for the Retail Refrigerator measure (RRERE10933) was established at 52.7 kWh versus the BPA deemed savings of 44 kwh.</t>
  </si>
  <si>
    <t>5. The CPA deemed savings for a high efficiency showerhead was established at 112 kWh per unit. Two separate deemed measure were used to claim savings from BPA. A high efficiency showerhead distributed through the Mail-by-Request measure had a savings assumption of  93 kWh while a Retail distribution measure assumed  81 kWh in savings.</t>
  </si>
  <si>
    <t>6. The CPA deemed savings for a ductless heat pump (RHVHS10560) was established at 4,135 kWh versus the BPA deemed savings of 3,500 kWh.</t>
  </si>
  <si>
    <t>7. All insulation measures (floor, ceiling, walls) had different savings assumptions when comparing the CPA established savings to the BPA deemed savings.</t>
  </si>
  <si>
    <t>8. In addition to the discrepancies listed in item 6, the heat pump measure (RHVHS10203) had a CPA established savings of 2,369 kWh versus the BPA deemed savings amount of 2,421 kWh.</t>
  </si>
  <si>
    <t>TOTAL TACOMA POWER SAVINGS</t>
  </si>
  <si>
    <t xml:space="preserve">            Carryover RECs from 2012</t>
  </si>
  <si>
    <t>Bill Dickens/Power Management</t>
  </si>
  <si>
    <t>253.502.8553</t>
  </si>
  <si>
    <t>bdickens@cityoftacoma.org</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</si>
</sst>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39" x14ac:knownFonts="1">
    <font>
      <sz val="11"/>
      <color theme="1"/>
      <name val="Calibri"/>
      <family val="2"/>
      <scheme val="minor"/>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sz val="8"/>
      <color theme="1"/>
      <name val="Arial"/>
      <family val="2"/>
    </font>
    <font>
      <sz val="10"/>
      <color rgb="FFFF0000"/>
      <name val="Arial"/>
      <family val="2"/>
    </font>
    <font>
      <sz val="10"/>
      <color theme="6" tint="-0.499984740745262"/>
      <name val="Arial"/>
      <family val="2"/>
    </font>
    <font>
      <i/>
      <sz val="10"/>
      <color rgb="FFC00000"/>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i/>
      <sz val="11"/>
      <color rgb="FF000000"/>
      <name val="Arial"/>
      <family val="2"/>
    </font>
    <font>
      <b/>
      <sz val="11"/>
      <color rgb="FF000000"/>
      <name val="Arial"/>
      <family val="2"/>
    </font>
    <font>
      <b/>
      <sz val="11"/>
      <color rgb="FF993300"/>
      <name val="Arial"/>
      <family val="2"/>
    </font>
    <font>
      <sz val="11"/>
      <color rgb="FF000000"/>
      <name val="Symbol"/>
      <family val="1"/>
      <charset val="2"/>
    </font>
    <font>
      <sz val="7"/>
      <color rgb="FF000000"/>
      <name val="Times New Roman"/>
      <family val="1"/>
    </font>
    <font>
      <sz val="11"/>
      <color rgb="FF993300"/>
      <name val="Arial"/>
      <family val="2"/>
    </font>
    <font>
      <b/>
      <i/>
      <sz val="11"/>
      <color rgb="FF000000"/>
      <name val="Arial"/>
      <family val="2"/>
    </font>
    <font>
      <b/>
      <sz val="12"/>
      <color theme="1"/>
      <name val="Arial"/>
      <family val="2"/>
    </font>
    <font>
      <vertAlign val="subscript"/>
      <sz val="10"/>
      <color theme="1"/>
      <name val="Arial"/>
      <family val="2"/>
    </font>
    <font>
      <b/>
      <sz val="8"/>
      <color theme="1"/>
      <name val="Arial"/>
      <family val="2"/>
    </font>
  </fonts>
  <fills count="10">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4.9989318521683403E-2"/>
        <bgColor indexed="64"/>
      </patternFill>
    </fill>
    <fill>
      <patternFill patternType="solid">
        <fgColor rgb="FFE4E4E4"/>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
      <patternFill patternType="solid">
        <fgColor theme="0" tint="-0.14999847407452621"/>
        <bgColor indexed="64"/>
      </patternFill>
    </fill>
  </fills>
  <borders count="52">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s>
  <cellStyleXfs count="5">
    <xf numFmtId="0" fontId="0" fillId="0" borderId="0"/>
    <xf numFmtId="43" fontId="8" fillId="0" borderId="0" applyFont="0" applyFill="0" applyBorder="0" applyAlignment="0" applyProtection="0"/>
    <xf numFmtId="44" fontId="8" fillId="0" borderId="0" applyFont="0" applyFill="0" applyBorder="0" applyAlignment="0" applyProtection="0"/>
    <xf numFmtId="0" fontId="9" fillId="0" borderId="0" applyNumberFormat="0" applyFill="0" applyBorder="0" applyAlignment="0" applyProtection="0">
      <alignment vertical="top"/>
      <protection locked="0"/>
    </xf>
    <xf numFmtId="9" fontId="8" fillId="0" borderId="0" applyFont="0" applyFill="0" applyBorder="0" applyAlignment="0" applyProtection="0"/>
  </cellStyleXfs>
  <cellXfs count="226">
    <xf numFmtId="0" fontId="0" fillId="0" borderId="0" xfId="0"/>
    <xf numFmtId="0" fontId="10" fillId="2" borderId="0" xfId="0" applyFont="1" applyFill="1"/>
    <xf numFmtId="0" fontId="11" fillId="2" borderId="0" xfId="0" applyFont="1" applyFill="1" applyBorder="1" applyAlignment="1"/>
    <xf numFmtId="0" fontId="11" fillId="2" borderId="0" xfId="0" applyFont="1" applyFill="1" applyBorder="1" applyAlignment="1">
      <alignment horizontal="right"/>
    </xf>
    <xf numFmtId="0" fontId="10" fillId="2" borderId="0" xfId="0" applyFont="1" applyFill="1" applyBorder="1" applyAlignment="1">
      <alignment horizontal="right"/>
    </xf>
    <xf numFmtId="0" fontId="10" fillId="2" borderId="0" xfId="0" applyFont="1" applyFill="1" applyAlignment="1">
      <alignment horizontal="right"/>
    </xf>
    <xf numFmtId="0" fontId="11" fillId="2" borderId="0" xfId="0" applyFont="1" applyFill="1" applyBorder="1" applyAlignment="1">
      <alignment horizontal="left"/>
    </xf>
    <xf numFmtId="0" fontId="10" fillId="2" borderId="0" xfId="0" applyFont="1" applyFill="1" applyBorder="1"/>
    <xf numFmtId="0" fontId="10" fillId="2" borderId="0" xfId="0" applyFont="1" applyFill="1" applyAlignment="1">
      <alignment horizontal="center"/>
    </xf>
    <xf numFmtId="0" fontId="10" fillId="2" borderId="0" xfId="0" applyFont="1" applyFill="1" applyBorder="1" applyAlignment="1">
      <alignment horizontal="center"/>
    </xf>
    <xf numFmtId="0" fontId="11" fillId="2" borderId="0" xfId="0" applyFont="1" applyFill="1" applyAlignment="1">
      <alignment horizontal="right"/>
    </xf>
    <xf numFmtId="0" fontId="11" fillId="2" borderId="0" xfId="0" applyFont="1" applyFill="1"/>
    <xf numFmtId="165" fontId="10" fillId="3" borderId="1" xfId="1" applyNumberFormat="1" applyFont="1" applyFill="1" applyBorder="1"/>
    <xf numFmtId="165" fontId="10" fillId="3" borderId="2" xfId="1" applyNumberFormat="1" applyFont="1" applyFill="1" applyBorder="1"/>
    <xf numFmtId="165" fontId="10" fillId="3" borderId="3" xfId="1" applyNumberFormat="1" applyFont="1" applyFill="1" applyBorder="1"/>
    <xf numFmtId="0" fontId="10" fillId="2" borderId="0" xfId="0" applyFont="1" applyFill="1" applyAlignment="1">
      <alignment wrapText="1"/>
    </xf>
    <xf numFmtId="0" fontId="12" fillId="2" borderId="0" xfId="0" applyFont="1" applyFill="1" applyBorder="1"/>
    <xf numFmtId="0" fontId="11" fillId="2" borderId="4" xfId="0" applyFont="1" applyFill="1" applyBorder="1" applyAlignment="1">
      <alignment horizontal="center" wrapText="1"/>
    </xf>
    <xf numFmtId="0" fontId="10" fillId="2" borderId="5" xfId="0" applyFont="1" applyFill="1" applyBorder="1"/>
    <xf numFmtId="0" fontId="11" fillId="2" borderId="6" xfId="0" applyFont="1" applyFill="1" applyBorder="1" applyAlignment="1">
      <alignment horizontal="right"/>
    </xf>
    <xf numFmtId="0" fontId="11" fillId="2" borderId="0" xfId="0" applyFont="1" applyFill="1" applyBorder="1"/>
    <xf numFmtId="165" fontId="11" fillId="2" borderId="0" xfId="0" applyNumberFormat="1" applyFont="1" applyFill="1" applyBorder="1" applyAlignment="1">
      <alignment horizontal="center"/>
    </xf>
    <xf numFmtId="165" fontId="11" fillId="2" borderId="0" xfId="1" applyNumberFormat="1" applyFont="1" applyFill="1" applyBorder="1" applyAlignment="1">
      <alignment horizontal="center"/>
    </xf>
    <xf numFmtId="0" fontId="10" fillId="2" borderId="0" xfId="0" applyFont="1" applyFill="1" applyAlignment="1">
      <alignment vertical="top"/>
    </xf>
    <xf numFmtId="0" fontId="10" fillId="2" borderId="0" xfId="0" applyFont="1" applyFill="1" applyAlignment="1"/>
    <xf numFmtId="0" fontId="13" fillId="2" borderId="0" xfId="0" applyFont="1" applyFill="1" applyAlignment="1">
      <alignment horizontal="center" vertical="center"/>
    </xf>
    <xf numFmtId="0" fontId="10" fillId="2" borderId="7" xfId="0" applyFont="1" applyFill="1" applyBorder="1"/>
    <xf numFmtId="0" fontId="14" fillId="2" borderId="0" xfId="0" applyFont="1" applyFill="1" applyBorder="1" applyAlignment="1">
      <alignment horizontal="center" vertical="center" wrapText="1"/>
    </xf>
    <xf numFmtId="0" fontId="10" fillId="2" borderId="0" xfId="0" applyFont="1" applyFill="1" applyBorder="1" applyAlignment="1"/>
    <xf numFmtId="0" fontId="15" fillId="2" borderId="0" xfId="0" applyFont="1" applyFill="1"/>
    <xf numFmtId="0" fontId="15" fillId="0" borderId="0" xfId="0" applyFont="1" applyAlignment="1">
      <alignment wrapText="1"/>
    </xf>
    <xf numFmtId="0" fontId="13" fillId="2" borderId="3"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165" fontId="11" fillId="3" borderId="11" xfId="0" applyNumberFormat="1" applyFont="1" applyFill="1" applyBorder="1" applyAlignment="1">
      <alignment horizontal="center"/>
    </xf>
    <xf numFmtId="0" fontId="1" fillId="2" borderId="12" xfId="0" applyFont="1" applyFill="1" applyBorder="1" applyAlignment="1" applyProtection="1">
      <alignment horizontal="right"/>
    </xf>
    <xf numFmtId="0" fontId="10" fillId="2" borderId="12" xfId="0" applyFont="1" applyFill="1" applyBorder="1" applyAlignment="1">
      <alignment horizontal="right"/>
    </xf>
    <xf numFmtId="0" fontId="11" fillId="2" borderId="13" xfId="0" applyFont="1" applyFill="1" applyBorder="1"/>
    <xf numFmtId="0" fontId="3" fillId="4" borderId="14" xfId="0" applyFont="1" applyFill="1" applyBorder="1" applyAlignment="1">
      <alignment horizontal="right"/>
    </xf>
    <xf numFmtId="0" fontId="11" fillId="4" borderId="14" xfId="0" applyFont="1" applyFill="1" applyBorder="1"/>
    <xf numFmtId="0" fontId="11" fillId="4" borderId="15" xfId="0" applyFont="1" applyFill="1" applyBorder="1"/>
    <xf numFmtId="0" fontId="11" fillId="4" borderId="12" xfId="0" applyFont="1" applyFill="1" applyBorder="1"/>
    <xf numFmtId="0" fontId="11" fillId="4" borderId="16" xfId="0" applyFont="1" applyFill="1" applyBorder="1"/>
    <xf numFmtId="0" fontId="3" fillId="2" borderId="0" xfId="0" applyFont="1" applyFill="1" applyAlignment="1">
      <alignment horizontal="right"/>
    </xf>
    <xf numFmtId="0" fontId="1" fillId="4" borderId="20" xfId="0" applyFont="1" applyFill="1" applyBorder="1" applyAlignment="1">
      <alignment horizontal="right"/>
    </xf>
    <xf numFmtId="0" fontId="1" fillId="4" borderId="14" xfId="0" applyFont="1" applyFill="1" applyBorder="1" applyAlignment="1">
      <alignment horizontal="right"/>
    </xf>
    <xf numFmtId="0" fontId="1" fillId="4" borderId="14" xfId="0" applyFont="1" applyFill="1" applyBorder="1" applyAlignment="1">
      <alignment horizontal="right" wrapText="1"/>
    </xf>
    <xf numFmtId="0" fontId="11" fillId="4" borderId="21" xfId="0" applyFont="1" applyFill="1" applyBorder="1"/>
    <xf numFmtId="0" fontId="16" fillId="4" borderId="12" xfId="0" applyFont="1" applyFill="1" applyBorder="1"/>
    <xf numFmtId="165" fontId="10" fillId="4" borderId="22" xfId="1" applyNumberFormat="1" applyFont="1" applyFill="1" applyBorder="1"/>
    <xf numFmtId="165" fontId="10" fillId="4" borderId="1" xfId="1" applyNumberFormat="1" applyFont="1" applyFill="1" applyBorder="1"/>
    <xf numFmtId="165" fontId="10" fillId="4" borderId="17" xfId="1" applyNumberFormat="1" applyFont="1" applyFill="1" applyBorder="1"/>
    <xf numFmtId="165" fontId="10" fillId="4" borderId="23" xfId="1" applyNumberFormat="1" applyFont="1" applyFill="1" applyBorder="1"/>
    <xf numFmtId="165" fontId="10" fillId="4" borderId="24" xfId="1" applyNumberFormat="1" applyFont="1" applyFill="1" applyBorder="1"/>
    <xf numFmtId="165" fontId="10" fillId="4" borderId="25" xfId="1" applyNumberFormat="1" applyFont="1" applyFill="1" applyBorder="1"/>
    <xf numFmtId="165" fontId="10" fillId="4" borderId="26" xfId="1" applyNumberFormat="1" applyFont="1" applyFill="1" applyBorder="1"/>
    <xf numFmtId="165" fontId="10" fillId="4" borderId="2" xfId="1" applyNumberFormat="1" applyFont="1" applyFill="1" applyBorder="1"/>
    <xf numFmtId="165" fontId="10" fillId="4" borderId="18" xfId="1" applyNumberFormat="1" applyFont="1" applyFill="1" applyBorder="1"/>
    <xf numFmtId="165" fontId="17" fillId="4" borderId="10" xfId="1" applyNumberFormat="1" applyFont="1" applyFill="1" applyBorder="1" applyAlignment="1">
      <alignment horizontal="center"/>
    </xf>
    <xf numFmtId="165" fontId="17" fillId="4" borderId="6" xfId="1" applyNumberFormat="1" applyFont="1" applyFill="1" applyBorder="1" applyAlignment="1">
      <alignment horizontal="center"/>
    </xf>
    <xf numFmtId="165" fontId="10" fillId="4" borderId="6" xfId="1" applyNumberFormat="1" applyFont="1" applyFill="1" applyBorder="1"/>
    <xf numFmtId="165" fontId="10" fillId="4" borderId="11" xfId="1" applyNumberFormat="1" applyFont="1" applyFill="1" applyBorder="1"/>
    <xf numFmtId="166" fontId="10" fillId="2" borderId="0" xfId="2" applyNumberFormat="1" applyFont="1" applyFill="1" applyBorder="1" applyAlignment="1">
      <alignment horizontal="right"/>
    </xf>
    <xf numFmtId="167" fontId="10" fillId="2" borderId="0" xfId="4" applyNumberFormat="1" applyFont="1" applyFill="1" applyBorder="1" applyAlignment="1">
      <alignment horizontal="right"/>
    </xf>
    <xf numFmtId="166" fontId="10" fillId="2" borderId="0" xfId="0" applyNumberFormat="1" applyFont="1" applyFill="1" applyBorder="1"/>
    <xf numFmtId="0" fontId="10" fillId="2" borderId="0" xfId="0" applyFont="1" applyFill="1" applyBorder="1" applyAlignment="1">
      <alignment horizontal="left"/>
    </xf>
    <xf numFmtId="0" fontId="20" fillId="2" borderId="29" xfId="0" applyFont="1" applyFill="1" applyBorder="1" applyAlignment="1">
      <alignment horizontal="right"/>
    </xf>
    <xf numFmtId="0" fontId="20" fillId="2" borderId="30" xfId="0" applyFont="1" applyFill="1" applyBorder="1" applyAlignment="1">
      <alignment horizontal="right"/>
    </xf>
    <xf numFmtId="0" fontId="20" fillId="2" borderId="0" xfId="0" applyFont="1" applyFill="1" applyAlignment="1">
      <alignment horizontal="right"/>
    </xf>
    <xf numFmtId="0" fontId="21" fillId="2" borderId="0" xfId="0" applyFont="1" applyFill="1"/>
    <xf numFmtId="0" fontId="21" fillId="2" borderId="0" xfId="0" applyFont="1" applyFill="1" applyBorder="1" applyAlignment="1"/>
    <xf numFmtId="0" fontId="20" fillId="2" borderId="0" xfId="0" applyFont="1" applyFill="1" applyBorder="1"/>
    <xf numFmtId="0" fontId="20" fillId="2" borderId="0" xfId="0" applyFont="1" applyFill="1"/>
    <xf numFmtId="0" fontId="11" fillId="2" borderId="0" xfId="0" applyFont="1" applyFill="1" applyBorder="1" applyAlignment="1">
      <alignment horizontal="center"/>
    </xf>
    <xf numFmtId="0" fontId="1" fillId="2" borderId="0" xfId="0" applyFont="1" applyFill="1" applyBorder="1" applyAlignment="1">
      <alignment horizontal="right" wrapText="1"/>
    </xf>
    <xf numFmtId="0" fontId="1" fillId="2" borderId="0" xfId="0" applyFont="1" applyFill="1" applyBorder="1" applyAlignment="1">
      <alignment horizontal="right"/>
    </xf>
    <xf numFmtId="0" fontId="7" fillId="2" borderId="0" xfId="0" applyNumberFormat="1" applyFont="1" applyFill="1" applyBorder="1" applyAlignment="1"/>
    <xf numFmtId="0" fontId="11" fillId="2" borderId="0" xfId="0" applyFont="1" applyFill="1" applyBorder="1" applyAlignment="1">
      <alignment horizontal="center"/>
    </xf>
    <xf numFmtId="0" fontId="1" fillId="2" borderId="0" xfId="0" applyFont="1" applyFill="1" applyBorder="1" applyAlignment="1">
      <alignment horizontal="right"/>
    </xf>
    <xf numFmtId="0" fontId="3" fillId="2" borderId="0" xfId="0" applyFont="1" applyFill="1" applyAlignment="1">
      <alignment horizontal="center"/>
    </xf>
    <xf numFmtId="0" fontId="1" fillId="4" borderId="12" xfId="0" applyFont="1" applyFill="1" applyBorder="1" applyAlignment="1">
      <alignment horizontal="right"/>
    </xf>
    <xf numFmtId="0" fontId="1" fillId="4" borderId="12" xfId="0" applyFont="1" applyFill="1" applyBorder="1" applyAlignment="1">
      <alignment horizontal="right" wrapText="1"/>
    </xf>
    <xf numFmtId="0" fontId="3" fillId="4" borderId="12" xfId="0" applyFont="1" applyFill="1" applyBorder="1" applyAlignment="1">
      <alignment horizontal="right"/>
    </xf>
    <xf numFmtId="0" fontId="1" fillId="2" borderId="0" xfId="0" applyFont="1" applyFill="1" applyBorder="1" applyAlignment="1">
      <alignment horizontal="right"/>
    </xf>
    <xf numFmtId="0" fontId="10" fillId="2" borderId="33" xfId="0" applyFont="1" applyFill="1" applyBorder="1"/>
    <xf numFmtId="9" fontId="1" fillId="3" borderId="37" xfId="0" applyNumberFormat="1" applyFont="1" applyFill="1" applyBorder="1" applyAlignment="1">
      <alignment horizontal="center"/>
    </xf>
    <xf numFmtId="0" fontId="10" fillId="2" borderId="38" xfId="0" applyFont="1" applyFill="1" applyBorder="1"/>
    <xf numFmtId="0" fontId="10" fillId="2" borderId="32" xfId="0" applyFont="1" applyFill="1" applyBorder="1"/>
    <xf numFmtId="0" fontId="1" fillId="2" borderId="32" xfId="0" applyFont="1" applyFill="1" applyBorder="1" applyAlignment="1">
      <alignment horizontal="right"/>
    </xf>
    <xf numFmtId="0" fontId="23" fillId="2" borderId="0" xfId="0" applyFont="1" applyFill="1" applyBorder="1" applyAlignment="1"/>
    <xf numFmtId="0" fontId="10" fillId="2" borderId="0" xfId="0" applyFont="1" applyFill="1" applyAlignment="1">
      <alignment horizontal="left"/>
    </xf>
    <xf numFmtId="0" fontId="1" fillId="2" borderId="0" xfId="0" applyFont="1" applyFill="1" applyAlignment="1">
      <alignment horizontal="right"/>
    </xf>
    <xf numFmtId="165" fontId="18" fillId="3" borderId="20" xfId="0" applyNumberFormat="1" applyFont="1" applyFill="1" applyBorder="1"/>
    <xf numFmtId="165" fontId="18" fillId="3" borderId="19" xfId="0" applyNumberFormat="1" applyFont="1" applyFill="1" applyBorder="1"/>
    <xf numFmtId="165" fontId="18" fillId="3" borderId="14" xfId="0" applyNumberFormat="1" applyFont="1" applyFill="1" applyBorder="1"/>
    <xf numFmtId="165" fontId="18" fillId="3" borderId="15" xfId="0" applyNumberFormat="1" applyFont="1" applyFill="1" applyBorder="1"/>
    <xf numFmtId="0" fontId="11" fillId="2" borderId="10" xfId="0" applyFont="1" applyFill="1" applyBorder="1" applyAlignment="1">
      <alignment horizontal="center" wrapText="1"/>
    </xf>
    <xf numFmtId="0" fontId="11" fillId="2" borderId="39" xfId="0" applyFont="1" applyFill="1" applyBorder="1" applyAlignment="1">
      <alignment horizontal="center" wrapText="1"/>
    </xf>
    <xf numFmtId="165" fontId="11" fillId="5" borderId="11" xfId="1" applyNumberFormat="1" applyFont="1" applyFill="1" applyBorder="1" applyAlignment="1">
      <alignment horizontal="right"/>
    </xf>
    <xf numFmtId="165" fontId="11" fillId="5" borderId="2" xfId="1" applyNumberFormat="1" applyFont="1" applyFill="1" applyBorder="1" applyAlignment="1">
      <alignment horizontal="right"/>
    </xf>
    <xf numFmtId="165" fontId="11" fillId="5" borderId="18" xfId="1" applyNumberFormat="1" applyFont="1" applyFill="1" applyBorder="1" applyAlignment="1">
      <alignment horizontal="right"/>
    </xf>
    <xf numFmtId="165" fontId="10" fillId="5" borderId="6" xfId="1" applyNumberFormat="1" applyFont="1" applyFill="1" applyBorder="1" applyAlignment="1">
      <alignment horizontal="center"/>
    </xf>
    <xf numFmtId="165" fontId="10" fillId="5" borderId="6" xfId="0" applyNumberFormat="1" applyFont="1" applyFill="1" applyBorder="1" applyAlignment="1">
      <alignment horizontal="center"/>
    </xf>
    <xf numFmtId="0" fontId="11" fillId="5" borderId="12" xfId="0" applyFont="1" applyFill="1" applyBorder="1"/>
    <xf numFmtId="0" fontId="11" fillId="5" borderId="12" xfId="0" applyFont="1" applyFill="1" applyBorder="1" applyAlignment="1">
      <alignment vertical="center" wrapText="1"/>
    </xf>
    <xf numFmtId="164" fontId="10" fillId="6" borderId="27" xfId="0" applyNumberFormat="1" applyFont="1" applyFill="1" applyBorder="1" applyAlignment="1">
      <alignment horizontal="center"/>
    </xf>
    <xf numFmtId="0" fontId="10" fillId="2" borderId="33" xfId="0" applyFont="1" applyFill="1" applyBorder="1" applyAlignment="1"/>
    <xf numFmtId="0" fontId="11" fillId="2" borderId="0" xfId="0" applyFont="1" applyFill="1" applyAlignment="1">
      <alignment horizontal="center"/>
    </xf>
    <xf numFmtId="0" fontId="10" fillId="0" borderId="41" xfId="0" applyFont="1" applyBorder="1" applyAlignment="1"/>
    <xf numFmtId="0" fontId="3" fillId="2" borderId="41" xfId="0" applyFont="1" applyFill="1" applyBorder="1" applyAlignment="1">
      <alignment horizontal="center"/>
    </xf>
    <xf numFmtId="164" fontId="10" fillId="7" borderId="27" xfId="0" applyNumberFormat="1" applyFont="1" applyFill="1" applyBorder="1" applyAlignment="1">
      <alignment horizontal="center"/>
    </xf>
    <xf numFmtId="164" fontId="10" fillId="7" borderId="28" xfId="0" applyNumberFormat="1" applyFont="1" applyFill="1" applyBorder="1" applyAlignment="1">
      <alignment horizontal="center"/>
    </xf>
    <xf numFmtId="169" fontId="10" fillId="5" borderId="24" xfId="1" applyNumberFormat="1" applyFont="1" applyFill="1" applyBorder="1" applyAlignment="1">
      <alignment horizontal="right"/>
    </xf>
    <xf numFmtId="169" fontId="10" fillId="2" borderId="0" xfId="0" applyNumberFormat="1" applyFont="1" applyFill="1" applyAlignment="1">
      <alignment horizontal="right"/>
    </xf>
    <xf numFmtId="169" fontId="11" fillId="3" borderId="2" xfId="1" applyNumberFormat="1" applyFont="1" applyFill="1" applyBorder="1" applyAlignment="1">
      <alignment horizontal="right"/>
    </xf>
    <xf numFmtId="0" fontId="25" fillId="2" borderId="0" xfId="0" applyFont="1" applyFill="1" applyBorder="1" applyAlignment="1">
      <alignment vertical="top" wrapText="1"/>
    </xf>
    <xf numFmtId="0" fontId="25" fillId="2" borderId="32" xfId="0" applyFont="1" applyFill="1" applyBorder="1" applyAlignment="1">
      <alignment vertical="top" wrapText="1"/>
    </xf>
    <xf numFmtId="0" fontId="21" fillId="2" borderId="0" xfId="0" applyFont="1" applyFill="1" applyBorder="1"/>
    <xf numFmtId="0" fontId="25" fillId="2" borderId="38" xfId="0" applyFont="1" applyFill="1" applyBorder="1" applyAlignment="1">
      <alignment vertical="top"/>
    </xf>
    <xf numFmtId="169" fontId="10" fillId="4" borderId="12" xfId="0" applyNumberFormat="1" applyFont="1" applyFill="1" applyBorder="1" applyAlignment="1"/>
    <xf numFmtId="167" fontId="10" fillId="3" borderId="13" xfId="4" applyNumberFormat="1" applyFont="1" applyFill="1" applyBorder="1" applyAlignment="1">
      <alignment horizontal="center"/>
    </xf>
    <xf numFmtId="0" fontId="26" fillId="0" borderId="42" xfId="0" applyFont="1" applyBorder="1" applyAlignment="1">
      <alignment vertical="center" wrapText="1"/>
    </xf>
    <xf numFmtId="0" fontId="26" fillId="0" borderId="43" xfId="0" applyFont="1" applyBorder="1" applyAlignment="1">
      <alignment vertical="center" wrapText="1"/>
    </xf>
    <xf numFmtId="0" fontId="20" fillId="0" borderId="43" xfId="0" applyFont="1" applyBorder="1" applyAlignment="1">
      <alignment vertical="center" wrapText="1"/>
    </xf>
    <xf numFmtId="0" fontId="20" fillId="0" borderId="44" xfId="0" applyFont="1" applyBorder="1" applyAlignment="1">
      <alignment vertical="center" wrapText="1"/>
    </xf>
    <xf numFmtId="0" fontId="28" fillId="8" borderId="45" xfId="0" applyFont="1" applyFill="1" applyBorder="1" applyAlignment="1">
      <alignment vertical="center"/>
    </xf>
    <xf numFmtId="0" fontId="28" fillId="8" borderId="46" xfId="0" applyFont="1" applyFill="1" applyBorder="1" applyAlignment="1">
      <alignment vertical="center"/>
    </xf>
    <xf numFmtId="0" fontId="30" fillId="8" borderId="43" xfId="0" applyFont="1" applyFill="1" applyBorder="1" applyAlignment="1">
      <alignment vertical="center" wrapText="1"/>
    </xf>
    <xf numFmtId="0" fontId="30" fillId="8" borderId="46" xfId="0" applyFont="1" applyFill="1" applyBorder="1" applyAlignment="1">
      <alignment vertical="center" wrapText="1"/>
    </xf>
    <xf numFmtId="0" fontId="28" fillId="8" borderId="43" xfId="0" applyFont="1" applyFill="1" applyBorder="1" applyAlignment="1">
      <alignment vertical="center" wrapText="1"/>
    </xf>
    <xf numFmtId="0" fontId="30" fillId="8" borderId="46" xfId="0" applyFont="1" applyFill="1" applyBorder="1" applyAlignment="1">
      <alignment vertical="center"/>
    </xf>
    <xf numFmtId="0" fontId="28" fillId="8" borderId="46" xfId="0" applyFont="1" applyFill="1" applyBorder="1" applyAlignment="1">
      <alignment vertical="center" wrapText="1"/>
    </xf>
    <xf numFmtId="0" fontId="26" fillId="8" borderId="46" xfId="0" applyFont="1" applyFill="1" applyBorder="1" applyAlignment="1">
      <alignment vertical="center"/>
    </xf>
    <xf numFmtId="0" fontId="28" fillId="8" borderId="43" xfId="0" applyFont="1" applyFill="1" applyBorder="1" applyAlignment="1">
      <alignment horizontal="left" vertical="center" wrapText="1" indent="5"/>
    </xf>
    <xf numFmtId="0" fontId="28" fillId="8" borderId="46" xfId="0" applyFont="1" applyFill="1" applyBorder="1" applyAlignment="1">
      <alignment horizontal="left" vertical="center" wrapText="1" indent="5"/>
    </xf>
    <xf numFmtId="0" fontId="30" fillId="8" borderId="43" xfId="0" applyFont="1" applyFill="1" applyBorder="1" applyAlignment="1">
      <alignment vertical="center"/>
    </xf>
    <xf numFmtId="0" fontId="32" fillId="8" borderId="43" xfId="0" applyFont="1" applyFill="1" applyBorder="1" applyAlignment="1">
      <alignment horizontal="left" vertical="center" wrapText="1" indent="5"/>
    </xf>
    <xf numFmtId="0" fontId="32" fillId="8" borderId="46" xfId="0" applyFont="1" applyFill="1" applyBorder="1" applyAlignment="1">
      <alignment horizontal="left" vertical="center" indent="5"/>
    </xf>
    <xf numFmtId="0" fontId="0" fillId="8" borderId="43" xfId="0" applyFill="1" applyBorder="1" applyAlignment="1">
      <alignment vertical="center" wrapText="1"/>
    </xf>
    <xf numFmtId="0" fontId="32" fillId="8" borderId="46" xfId="0" applyFont="1" applyFill="1" applyBorder="1" applyAlignment="1">
      <alignment horizontal="left" vertical="center" wrapText="1" indent="5"/>
    </xf>
    <xf numFmtId="0" fontId="31" fillId="8" borderId="46" xfId="0" applyFont="1" applyFill="1" applyBorder="1" applyAlignment="1">
      <alignment vertical="center" wrapText="1"/>
    </xf>
    <xf numFmtId="0" fontId="30" fillId="8" borderId="44" xfId="0" applyFont="1" applyFill="1" applyBorder="1" applyAlignment="1">
      <alignment vertical="center"/>
    </xf>
    <xf numFmtId="0" fontId="10" fillId="2" borderId="0" xfId="0" applyNumberFormat="1" applyFont="1" applyFill="1"/>
    <xf numFmtId="0" fontId="0" fillId="0" borderId="0" xfId="0" applyNumberFormat="1"/>
    <xf numFmtId="168" fontId="35" fillId="8" borderId="46" xfId="0" applyNumberFormat="1" applyFont="1" applyFill="1" applyBorder="1" applyAlignment="1">
      <alignment horizontal="left" vertical="center"/>
    </xf>
    <xf numFmtId="0" fontId="10" fillId="9" borderId="0" xfId="0" applyFont="1" applyFill="1" applyBorder="1"/>
    <xf numFmtId="0" fontId="36" fillId="9" borderId="47" xfId="0" applyFont="1" applyFill="1" applyBorder="1" applyAlignment="1">
      <alignment horizontal="centerContinuous"/>
    </xf>
    <xf numFmtId="0" fontId="11" fillId="9" borderId="48" xfId="0" applyFont="1" applyFill="1" applyBorder="1" applyAlignment="1">
      <alignment horizontal="centerContinuous"/>
    </xf>
    <xf numFmtId="0" fontId="10" fillId="9" borderId="50" xfId="0" applyFont="1" applyFill="1" applyBorder="1"/>
    <xf numFmtId="0" fontId="10" fillId="9" borderId="51" xfId="0" applyFont="1" applyFill="1" applyBorder="1"/>
    <xf numFmtId="0" fontId="20" fillId="9" borderId="50" xfId="0" applyFont="1" applyFill="1" applyBorder="1"/>
    <xf numFmtId="0" fontId="11" fillId="9" borderId="50" xfId="0" applyFont="1" applyFill="1" applyBorder="1"/>
    <xf numFmtId="0" fontId="11" fillId="9" borderId="0" xfId="0" applyFont="1" applyFill="1" applyBorder="1"/>
    <xf numFmtId="0" fontId="11" fillId="9" borderId="0" xfId="0" applyFont="1" applyFill="1" applyBorder="1" applyAlignment="1"/>
    <xf numFmtId="0" fontId="11" fillId="9" borderId="0" xfId="0" applyFont="1" applyFill="1" applyBorder="1" applyAlignment="1">
      <alignment horizontal="right"/>
    </xf>
    <xf numFmtId="0" fontId="10" fillId="9" borderId="0" xfId="0" applyFont="1" applyFill="1" applyBorder="1" applyAlignment="1"/>
    <xf numFmtId="165" fontId="10" fillId="9" borderId="0" xfId="1" applyNumberFormat="1" applyFont="1" applyFill="1" applyBorder="1"/>
    <xf numFmtId="165" fontId="10" fillId="9" borderId="0" xfId="1" applyNumberFormat="1" applyFont="1" applyFill="1" applyBorder="1" applyAlignment="1"/>
    <xf numFmtId="165" fontId="10" fillId="9" borderId="0" xfId="0" applyNumberFormat="1" applyFont="1" applyFill="1" applyBorder="1"/>
    <xf numFmtId="0" fontId="11" fillId="9" borderId="0" xfId="0" applyFont="1" applyFill="1" applyBorder="1" applyAlignment="1">
      <alignment wrapText="1"/>
    </xf>
    <xf numFmtId="165" fontId="11" fillId="9" borderId="0" xfId="1" applyNumberFormat="1" applyFont="1" applyFill="1" applyBorder="1"/>
    <xf numFmtId="165" fontId="11" fillId="9" borderId="0" xfId="1" applyNumberFormat="1" applyFont="1" applyFill="1" applyBorder="1" applyAlignment="1"/>
    <xf numFmtId="165" fontId="11" fillId="9" borderId="0" xfId="0" applyNumberFormat="1" applyFont="1" applyFill="1" applyBorder="1"/>
    <xf numFmtId="0" fontId="11" fillId="9" borderId="50" xfId="0" applyFont="1" applyFill="1" applyBorder="1" applyAlignment="1">
      <alignment horizontal="centerContinuous"/>
    </xf>
    <xf numFmtId="0" fontId="11" fillId="9" borderId="0" xfId="0" applyFont="1" applyFill="1" applyBorder="1" applyAlignment="1">
      <alignment horizontal="centerContinuous"/>
    </xf>
    <xf numFmtId="0" fontId="10" fillId="9" borderId="48" xfId="0" applyFont="1" applyFill="1" applyBorder="1" applyAlignment="1">
      <alignment horizontal="centerContinuous"/>
    </xf>
    <xf numFmtId="0" fontId="10" fillId="9" borderId="49" xfId="0" applyFont="1" applyFill="1" applyBorder="1" applyAlignment="1">
      <alignment horizontal="centerContinuous"/>
    </xf>
    <xf numFmtId="3" fontId="10" fillId="4" borderId="12" xfId="0" applyNumberFormat="1" applyFont="1" applyFill="1" applyBorder="1" applyAlignment="1">
      <alignment horizontal="center"/>
    </xf>
    <xf numFmtId="3" fontId="10" fillId="3" borderId="37" xfId="0" applyNumberFormat="1" applyFont="1" applyFill="1" applyBorder="1" applyAlignment="1">
      <alignment horizontal="center"/>
    </xf>
    <xf numFmtId="0" fontId="3" fillId="4" borderId="34" xfId="0" applyFont="1" applyFill="1" applyBorder="1" applyAlignment="1">
      <alignment horizontal="right"/>
    </xf>
    <xf numFmtId="0" fontId="10" fillId="4" borderId="12" xfId="0" applyFont="1" applyFill="1" applyBorder="1"/>
    <xf numFmtId="0" fontId="38" fillId="4" borderId="12" xfId="0" applyFont="1" applyFill="1" applyBorder="1"/>
    <xf numFmtId="3" fontId="10" fillId="3" borderId="13" xfId="0" applyNumberFormat="1" applyFont="1" applyFill="1" applyBorder="1" applyAlignment="1">
      <alignment horizontal="center"/>
    </xf>
    <xf numFmtId="43" fontId="10" fillId="2" borderId="0" xfId="0" applyNumberFormat="1" applyFont="1" applyFill="1"/>
    <xf numFmtId="43" fontId="10" fillId="2" borderId="0" xfId="1" applyFont="1" applyFill="1"/>
    <xf numFmtId="165" fontId="10" fillId="2" borderId="0" xfId="0" applyNumberFormat="1" applyFont="1" applyFill="1"/>
    <xf numFmtId="0" fontId="10" fillId="9" borderId="0" xfId="0" applyFont="1" applyFill="1" applyBorder="1" applyAlignment="1">
      <alignment horizontal="centerContinuous"/>
    </xf>
    <xf numFmtId="0" fontId="11" fillId="9" borderId="51" xfId="0" applyFont="1" applyFill="1" applyBorder="1"/>
    <xf numFmtId="43" fontId="11" fillId="2" borderId="0" xfId="0" applyNumberFormat="1" applyFont="1" applyFill="1"/>
    <xf numFmtId="0" fontId="10" fillId="9" borderId="51" xfId="0" applyFont="1" applyFill="1" applyBorder="1" applyAlignment="1">
      <alignment horizontal="centerContinuous"/>
    </xf>
    <xf numFmtId="0" fontId="20" fillId="9" borderId="0" xfId="0" applyFont="1" applyFill="1" applyBorder="1" applyAlignment="1">
      <alignment horizontal="centerContinuous"/>
    </xf>
    <xf numFmtId="0" fontId="20" fillId="9" borderId="51" xfId="0" applyFont="1" applyFill="1" applyBorder="1" applyAlignment="1">
      <alignment horizontal="centerContinuous"/>
    </xf>
    <xf numFmtId="0" fontId="10" fillId="9" borderId="0" xfId="0" applyFont="1" applyFill="1" applyBorder="1" applyAlignment="1">
      <alignment wrapText="1"/>
    </xf>
    <xf numFmtId="0" fontId="0" fillId="0" borderId="0" xfId="0" applyAlignment="1">
      <alignment wrapText="1"/>
    </xf>
    <xf numFmtId="0" fontId="11" fillId="2" borderId="0" xfId="0" applyFont="1" applyFill="1" applyBorder="1" applyAlignment="1">
      <alignment horizontal="center"/>
    </xf>
    <xf numFmtId="0" fontId="11" fillId="2" borderId="32" xfId="0" applyFont="1" applyFill="1" applyBorder="1" applyAlignment="1">
      <alignment horizontal="center"/>
    </xf>
    <xf numFmtId="0" fontId="0" fillId="9" borderId="0" xfId="0" applyFill="1" applyBorder="1" applyAlignment="1">
      <alignment wrapText="1"/>
    </xf>
    <xf numFmtId="0" fontId="0" fillId="0" borderId="51" xfId="0" applyBorder="1" applyAlignment="1">
      <alignment wrapText="1"/>
    </xf>
    <xf numFmtId="0" fontId="11" fillId="2" borderId="31" xfId="0" applyFont="1" applyFill="1" applyBorder="1" applyAlignment="1"/>
    <xf numFmtId="0" fontId="11" fillId="2" borderId="40" xfId="0" applyFont="1" applyFill="1" applyBorder="1" applyAlignment="1">
      <alignment horizontal="center"/>
    </xf>
    <xf numFmtId="0" fontId="10" fillId="2" borderId="0" xfId="0" applyFont="1" applyFill="1" applyBorder="1" applyAlignment="1">
      <alignment horizontal="right" wrapText="1"/>
    </xf>
    <xf numFmtId="0" fontId="10" fillId="2" borderId="37" xfId="0" applyFont="1" applyFill="1" applyBorder="1" applyAlignment="1">
      <alignment horizontal="right" wrapText="1"/>
    </xf>
    <xf numFmtId="0" fontId="11" fillId="5" borderId="20" xfId="0" applyFont="1" applyFill="1" applyBorder="1" applyAlignment="1">
      <alignment horizontal="center"/>
    </xf>
    <xf numFmtId="168" fontId="12" fillId="5" borderId="14" xfId="0" applyNumberFormat="1" applyFont="1" applyFill="1" applyBorder="1" applyAlignment="1">
      <alignment horizontal="left"/>
    </xf>
    <xf numFmtId="168" fontId="10" fillId="5" borderId="14" xfId="0" applyNumberFormat="1" applyFont="1" applyFill="1" applyBorder="1" applyAlignment="1">
      <alignment horizontal="left"/>
    </xf>
    <xf numFmtId="0" fontId="11" fillId="5" borderId="14" xfId="0" applyFont="1" applyFill="1" applyBorder="1" applyAlignment="1">
      <alignment horizontal="left"/>
    </xf>
    <xf numFmtId="0" fontId="10" fillId="5" borderId="14" xfId="0" applyFont="1" applyFill="1" applyBorder="1" applyAlignment="1">
      <alignment horizontal="left"/>
    </xf>
    <xf numFmtId="0" fontId="9" fillId="5" borderId="15" xfId="3" applyFill="1" applyBorder="1" applyAlignment="1" applyProtection="1">
      <alignment horizontal="left"/>
    </xf>
    <xf numFmtId="0" fontId="10" fillId="5" borderId="15" xfId="0" applyFont="1" applyFill="1" applyBorder="1" applyAlignment="1">
      <alignment horizontal="left"/>
    </xf>
    <xf numFmtId="0" fontId="11" fillId="3" borderId="19" xfId="0" applyFont="1" applyFill="1" applyBorder="1" applyAlignment="1">
      <alignment horizontal="center"/>
    </xf>
    <xf numFmtId="0" fontId="11" fillId="2" borderId="0" xfId="0" applyFont="1" applyFill="1" applyBorder="1" applyAlignment="1">
      <alignment vertical="top" wrapText="1"/>
    </xf>
    <xf numFmtId="0" fontId="10" fillId="2" borderId="0" xfId="0" applyFont="1" applyFill="1" applyBorder="1" applyAlignment="1">
      <alignment vertical="top" wrapText="1"/>
    </xf>
    <xf numFmtId="0" fontId="10" fillId="2" borderId="31" xfId="0" applyFont="1" applyFill="1" applyBorder="1" applyAlignment="1"/>
    <xf numFmtId="0" fontId="10" fillId="2" borderId="0" xfId="0" applyFont="1" applyFill="1" applyBorder="1" applyAlignment="1"/>
    <xf numFmtId="0" fontId="11" fillId="0" borderId="35" xfId="0" applyFont="1" applyBorder="1" applyAlignment="1">
      <alignment horizontal="center" wrapText="1"/>
    </xf>
    <xf numFmtId="0" fontId="11" fillId="0" borderId="7" xfId="0" applyFont="1" applyBorder="1" applyAlignment="1">
      <alignment horizontal="center" wrapText="1"/>
    </xf>
    <xf numFmtId="0" fontId="11" fillId="0" borderId="36" xfId="0" applyFont="1" applyBorder="1" applyAlignment="1">
      <alignment horizontal="center" wrapText="1"/>
    </xf>
    <xf numFmtId="0" fontId="11" fillId="2" borderId="35" xfId="0" applyFont="1" applyFill="1" applyBorder="1" applyAlignment="1">
      <alignment horizontal="center"/>
    </xf>
    <xf numFmtId="0" fontId="11" fillId="2" borderId="7" xfId="0" applyFont="1" applyFill="1" applyBorder="1" applyAlignment="1">
      <alignment horizontal="center"/>
    </xf>
    <xf numFmtId="0" fontId="11" fillId="2" borderId="36" xfId="0" applyFont="1" applyFill="1" applyBorder="1" applyAlignment="1">
      <alignment horizontal="center"/>
    </xf>
    <xf numFmtId="0" fontId="11" fillId="4" borderId="20" xfId="0" applyFont="1" applyFill="1" applyBorder="1" applyAlignment="1">
      <alignment horizontal="center"/>
    </xf>
    <xf numFmtId="168" fontId="10" fillId="4" borderId="14" xfId="0" applyNumberFormat="1" applyFont="1" applyFill="1" applyBorder="1" applyAlignment="1">
      <alignment horizontal="center"/>
    </xf>
    <xf numFmtId="0" fontId="10" fillId="4" borderId="14" xfId="0" applyFont="1" applyFill="1" applyBorder="1" applyAlignment="1">
      <alignment horizontal="center"/>
    </xf>
    <xf numFmtId="0" fontId="9" fillId="4" borderId="15" xfId="3" applyFill="1" applyBorder="1" applyAlignment="1" applyProtection="1">
      <alignment horizontal="center"/>
    </xf>
    <xf numFmtId="0" fontId="10" fillId="4" borderId="15" xfId="0" applyFont="1" applyFill="1" applyBorder="1" applyAlignment="1">
      <alignment horizontal="center"/>
    </xf>
    <xf numFmtId="0" fontId="1" fillId="2" borderId="0" xfId="0" applyFont="1" applyFill="1" applyBorder="1" applyAlignment="1">
      <alignment horizontal="right" wrapText="1"/>
    </xf>
    <xf numFmtId="0" fontId="11" fillId="3" borderId="10" xfId="0" applyFont="1" applyFill="1" applyBorder="1" applyAlignment="1">
      <alignment horizontal="center"/>
    </xf>
    <xf numFmtId="0" fontId="10" fillId="0" borderId="1" xfId="0" applyFont="1" applyBorder="1" applyAlignment="1"/>
    <xf numFmtId="0" fontId="10" fillId="0" borderId="17" xfId="0" applyFont="1" applyBorder="1" applyAlignment="1"/>
    <xf numFmtId="0" fontId="11" fillId="2" borderId="11" xfId="0" applyFont="1" applyFill="1" applyBorder="1" applyAlignment="1">
      <alignment horizontal="center"/>
    </xf>
    <xf numFmtId="0" fontId="10" fillId="2" borderId="2" xfId="0" applyFont="1" applyFill="1" applyBorder="1" applyAlignment="1">
      <alignment horizontal="center"/>
    </xf>
    <xf numFmtId="0" fontId="10" fillId="2" borderId="18" xfId="0" applyFont="1" applyFill="1" applyBorder="1" applyAlignment="1">
      <alignment horizontal="center"/>
    </xf>
    <xf numFmtId="0" fontId="2" fillId="2" borderId="0" xfId="0" applyFont="1" applyFill="1" applyAlignment="1">
      <alignment horizontal="left" vertical="center" wrapText="1"/>
    </xf>
    <xf numFmtId="0" fontId="19" fillId="2" borderId="0" xfId="0" applyFont="1" applyFill="1" applyAlignment="1">
      <alignment horizontal="left" vertical="center" wrapText="1"/>
    </xf>
    <xf numFmtId="0" fontId="0" fillId="2" borderId="0" xfId="0" applyFill="1" applyAlignment="1">
      <alignment wrapText="1"/>
    </xf>
    <xf numFmtId="0" fontId="3" fillId="2" borderId="32" xfId="0" applyFont="1" applyFill="1" applyBorder="1" applyAlignment="1">
      <alignment horizontal="left"/>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colors>
    <mruColors>
      <color rgb="FFDDDDD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9525</xdr:colOff>
      <xdr:row>33</xdr:row>
      <xdr:rowOff>31751</xdr:rowOff>
    </xdr:from>
    <xdr:to>
      <xdr:col>10</xdr:col>
      <xdr:colOff>0</xdr:colOff>
      <xdr:row>42</xdr:row>
      <xdr:rowOff>66675</xdr:rowOff>
    </xdr:to>
    <xdr:sp macro="" textlink="">
      <xdr:nvSpPr>
        <xdr:cNvPr id="2" name="TextBox 1"/>
        <xdr:cNvSpPr txBox="1"/>
      </xdr:nvSpPr>
      <xdr:spPr>
        <a:xfrm>
          <a:off x="219075" y="7223126"/>
          <a:ext cx="8267700" cy="174942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Tacoma Power developed  its 2012-2013 conservation targets using the utility analysis option as authorized in WAC 194-37-070(6)(a).  In 2010, Tacoma Power contracted with the </a:t>
          </a:r>
          <a:r>
            <a:rPr lang="en-US" sz="1100" baseline="0">
              <a:solidFill>
                <a:schemeClr val="dk1"/>
              </a:solidFill>
              <a:effectLst/>
              <a:latin typeface="+mn-lt"/>
              <a:ea typeface="+mn-ea"/>
              <a:cs typeface="+mn-cs"/>
            </a:rPr>
            <a:t>Cadmus Group to conduct a comprehensive  Conservation Potential Assessment (CPA) (available upon request) of the  economic and achievable potential of more than 300 conservation measures for the years 2010-2019.  Cadmus'  methodology used assumptions from Tacoma Power's 2010 Integrated Resource Planning (IRP) process and utilized standard industry practices consistent with the methods used by the Northwest Power and Conservation Council and WAC 194-37-070 (6) (a) (i) through (xv) to determine the potential for cost-effective and achievable conservation measures within our utility service territory.  The 2010 CPA identified 56 aMW of cost-effective and achievable conservation in Tacoma Power's  service territory for the years 2010-2019.  This represented an annual goal of 5.6 aMW.  A </a:t>
          </a:r>
          <a:r>
            <a:rPr lang="en-US" sz="1100">
              <a:solidFill>
                <a:schemeClr val="dk1"/>
              </a:solidFill>
              <a:effectLst/>
              <a:latin typeface="+mn-lt"/>
              <a:ea typeface="+mn-ea"/>
              <a:cs typeface="+mn-cs"/>
            </a:rPr>
            <a:t>public meeting was held November 26, 2011 and the Tacoma Public Utility Board approved the target with Resolution U-10499 in accordance with WAC 194-37-070(3)(d).  </a:t>
          </a:r>
          <a:endParaRPr lang="en-US">
            <a:effectLst/>
          </a:endParaRPr>
        </a:p>
        <a:p>
          <a:endParaRPr lang="en-US" sz="1100"/>
        </a:p>
      </xdr:txBody>
    </xdr:sp>
    <xdr:clientData/>
  </xdr:twoCellAnchor>
  <xdr:twoCellAnchor>
    <xdr:from>
      <xdr:col>0</xdr:col>
      <xdr:colOff>209549</xdr:colOff>
      <xdr:row>43</xdr:row>
      <xdr:rowOff>180976</xdr:rowOff>
    </xdr:from>
    <xdr:to>
      <xdr:col>10</xdr:col>
      <xdr:colOff>0</xdr:colOff>
      <xdr:row>49</xdr:row>
      <xdr:rowOff>9526</xdr:rowOff>
    </xdr:to>
    <xdr:sp macro="" textlink="">
      <xdr:nvSpPr>
        <xdr:cNvPr id="3" name="TextBox 2"/>
        <xdr:cNvSpPr txBox="1"/>
      </xdr:nvSpPr>
      <xdr:spPr>
        <a:xfrm>
          <a:off x="209549" y="9277351"/>
          <a:ext cx="8277226" cy="857250"/>
        </a:xfrm>
        <a:prstGeom prst="rect">
          <a:avLst/>
        </a:prstGeom>
        <a:solidFill>
          <a:schemeClr val="bg1">
            <a:lumMod val="85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All alternative savings are a result of differences between  Tacoma Power's 2010 Conservation Potential Assessment (CPA) savings assumptions and the  deemed savings from BPA Energy Efficiency  Implementation</a:t>
          </a:r>
          <a:r>
            <a:rPr lang="en-US" sz="1100" baseline="0">
              <a:solidFill>
                <a:schemeClr val="dk1"/>
              </a:solidFill>
              <a:effectLst/>
              <a:latin typeface="+mn-lt"/>
              <a:ea typeface="+mn-ea"/>
              <a:cs typeface="+mn-cs"/>
            </a:rPr>
            <a:t> manuals dated 10/1/2011 to 10/1/2013 available at www.bpa.gov/Energy/N/implementation.cfm </a:t>
          </a:r>
          <a:r>
            <a:rPr lang="en-US" sz="1100">
              <a:solidFill>
                <a:schemeClr val="dk1"/>
              </a:solidFill>
              <a:effectLst/>
              <a:latin typeface="+mn-lt"/>
              <a:ea typeface="+mn-ea"/>
              <a:cs typeface="+mn-cs"/>
            </a:rPr>
            <a:t>.  All savings are site based savings  consistent with</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Tacoma Power's</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2010 CPA. </a:t>
          </a:r>
          <a:endParaRPr lang="en-US">
            <a:effectLst/>
          </a:endParaRPr>
        </a:p>
        <a:p>
          <a:endParaRPr lang="en-US" sz="1100"/>
        </a:p>
      </xdr:txBody>
    </xdr:sp>
    <xdr:clientData/>
  </xdr:twoCellAnchor>
  <xdr:twoCellAnchor>
    <xdr:from>
      <xdr:col>8</xdr:col>
      <xdr:colOff>247650</xdr:colOff>
      <xdr:row>15</xdr:row>
      <xdr:rowOff>361950</xdr:rowOff>
    </xdr:from>
    <xdr:to>
      <xdr:col>9</xdr:col>
      <xdr:colOff>552450</xdr:colOff>
      <xdr:row>22</xdr:row>
      <xdr:rowOff>133350</xdr:rowOff>
    </xdr:to>
    <xdr:sp macro="" textlink="">
      <xdr:nvSpPr>
        <xdr:cNvPr id="4" name="TextBox 3"/>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180974</xdr:colOff>
      <xdr:row>100</xdr:row>
      <xdr:rowOff>0</xdr:rowOff>
    </xdr:from>
    <xdr:to>
      <xdr:col>14</xdr:col>
      <xdr:colOff>609599</xdr:colOff>
      <xdr:row>112</xdr:row>
      <xdr:rowOff>152400</xdr:rowOff>
    </xdr:to>
    <xdr:sp macro="" textlink="">
      <xdr:nvSpPr>
        <xdr:cNvPr id="2" name="TextBox 1"/>
        <xdr:cNvSpPr txBox="1"/>
      </xdr:nvSpPr>
      <xdr:spPr>
        <a:xfrm>
          <a:off x="180974" y="20335875"/>
          <a:ext cx="11134725" cy="22098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The</a:t>
          </a:r>
          <a:r>
            <a:rPr lang="en-US" sz="1100" baseline="0">
              <a:solidFill>
                <a:schemeClr val="dk1"/>
              </a:solidFill>
              <a:effectLst/>
              <a:latin typeface="+mn-lt"/>
              <a:ea typeface="+mn-ea"/>
              <a:cs typeface="+mn-cs"/>
            </a:rPr>
            <a:t> revenue requirement invested in renewables  is calculated as the sum of cost acquisition for incremental hydro, apprenticeship labor, BPA RECs  and Iberdrola RECs divided by the budgeted 2014 revenue requirement.   The total expenditures for incremental hydro and BPA RECs equal zero.  Apprenticeship Labor for the Mossyrock rebuild equals $225,000.00. Apprenticeship Labor for the Cushman 3 (North Fork) equals $513,000.  Iberdrola RECs in  2013 was equal to the product of total RECs generated (61,332) multiplied by the per unit REC price ($19.75) for a total of $1,211,307.00.  Total amount invested in renewable resources equal nearly $2,000,000.  The 2014 budgeted revenue requirement is  $320,698,528.00.  The ratio of the two metrics ($ invested in renewable resources/Retail 2014 Revenue Requirement) equals .6%.</a:t>
          </a:r>
          <a:endParaRPr lang="en-US">
            <a:effectLst/>
          </a:endParaRPr>
        </a:p>
        <a:p>
          <a:endParaRPr lang="en-US"/>
        </a:p>
      </xdr:txBody>
    </xdr:sp>
    <xdr:clientData/>
  </xdr:twoCellAnchor>
  <xdr:twoCellAnchor>
    <xdr:from>
      <xdr:col>0</xdr:col>
      <xdr:colOff>161925</xdr:colOff>
      <xdr:row>115</xdr:row>
      <xdr:rowOff>123825</xdr:rowOff>
    </xdr:from>
    <xdr:to>
      <xdr:col>14</xdr:col>
      <xdr:colOff>647701</xdr:colOff>
      <xdr:row>149</xdr:row>
      <xdr:rowOff>146050</xdr:rowOff>
    </xdr:to>
    <xdr:sp macro="" textlink="">
      <xdr:nvSpPr>
        <xdr:cNvPr id="3" name="TextBox 2"/>
        <xdr:cNvSpPr txBox="1"/>
      </xdr:nvSpPr>
      <xdr:spPr>
        <a:xfrm>
          <a:off x="161925" y="22736175"/>
          <a:ext cx="11782426" cy="5419725"/>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solidFill>
                <a:schemeClr val="dk1"/>
              </a:solidFill>
              <a:effectLst/>
              <a:latin typeface="+mn-lt"/>
              <a:ea typeface="+mn-ea"/>
              <a:cs typeface="+mn-cs"/>
            </a:rPr>
            <a:t>Mossyrock:  </a:t>
          </a:r>
          <a:r>
            <a:rPr lang="en-US" sz="1100" b="0">
              <a:solidFill>
                <a:schemeClr val="dk1"/>
              </a:solidFill>
              <a:effectLst/>
              <a:latin typeface="+mn-lt"/>
              <a:ea typeface="+mn-ea"/>
              <a:cs typeface="+mn-cs"/>
            </a:rPr>
            <a:t>The Mossyrock rebuild incremental</a:t>
          </a:r>
          <a:r>
            <a:rPr lang="en-US" sz="1100" b="0" baseline="0">
              <a:solidFill>
                <a:schemeClr val="dk1"/>
              </a:solidFill>
              <a:effectLst/>
              <a:latin typeface="+mn-lt"/>
              <a:ea typeface="+mn-ea"/>
              <a:cs typeface="+mn-cs"/>
            </a:rPr>
            <a:t> hydro </a:t>
          </a:r>
          <a:r>
            <a:rPr lang="en-US" sz="1100" b="0">
              <a:solidFill>
                <a:schemeClr val="dk1"/>
              </a:solidFill>
              <a:effectLst/>
              <a:latin typeface="+mn-lt"/>
              <a:ea typeface="+mn-ea"/>
              <a:cs typeface="+mn-cs"/>
            </a:rPr>
            <a:t>consists of </a:t>
          </a:r>
          <a:r>
            <a:rPr lang="en-US" sz="1100" b="0" baseline="0">
              <a:solidFill>
                <a:schemeClr val="dk1"/>
              </a:solidFill>
              <a:effectLst/>
              <a:latin typeface="+mn-lt"/>
              <a:ea typeface="+mn-ea"/>
              <a:cs typeface="+mn-cs"/>
            </a:rPr>
            <a:t>improvements to </a:t>
          </a:r>
          <a:r>
            <a:rPr lang="en-US" sz="1100" b="0">
              <a:solidFill>
                <a:schemeClr val="dk1"/>
              </a:solidFill>
              <a:effectLst/>
              <a:latin typeface="+mn-lt"/>
              <a:ea typeface="+mn-ea"/>
              <a:cs typeface="+mn-cs"/>
            </a:rPr>
            <a:t>3 separate facilities within</a:t>
          </a:r>
          <a:r>
            <a:rPr lang="en-US" sz="1100" b="0" baseline="0">
              <a:solidFill>
                <a:schemeClr val="dk1"/>
              </a:solidFill>
              <a:effectLst/>
              <a:latin typeface="+mn-lt"/>
              <a:ea typeface="+mn-ea"/>
              <a:cs typeface="+mn-cs"/>
            </a:rPr>
            <a:t> the Cowlitz River Project.  All qualify for the 20% apprenticeship labor credit.</a:t>
          </a:r>
          <a:endParaRPr lang="en-US">
            <a:effectLst/>
          </a:endParaRPr>
        </a:p>
        <a:p>
          <a:r>
            <a:rPr lang="en-US" sz="1100" b="0" baseline="0">
              <a:solidFill>
                <a:schemeClr val="dk1"/>
              </a:solidFill>
              <a:effectLst/>
              <a:latin typeface="+mn-lt"/>
              <a:ea typeface="+mn-ea"/>
              <a:cs typeface="+mn-cs"/>
            </a:rPr>
            <a:t>- </a:t>
          </a:r>
          <a:r>
            <a:rPr lang="en-US" sz="1100" b="1" i="1" baseline="0">
              <a:solidFill>
                <a:schemeClr val="dk1"/>
              </a:solidFill>
              <a:effectLst/>
              <a:latin typeface="+mn-lt"/>
              <a:ea typeface="+mn-ea"/>
              <a:cs typeface="+mn-cs"/>
            </a:rPr>
            <a:t>Improved turbine </a:t>
          </a:r>
          <a:r>
            <a:rPr lang="en-US" sz="1100" b="0" baseline="0">
              <a:solidFill>
                <a:schemeClr val="dk1"/>
              </a:solidFill>
              <a:effectLst/>
              <a:latin typeface="+mn-lt"/>
              <a:ea typeface="+mn-ea"/>
              <a:cs typeface="+mn-cs"/>
            </a:rPr>
            <a:t>efficiency was calculated using the VISTA computer model based on "before" and "after" turbine production curves and 70 hydro years.  The average increase in annual production was 26,488MWhs.  This is a fixed number that will not change in future reports.</a:t>
          </a:r>
          <a:endParaRPr lang="en-US">
            <a:effectLst/>
          </a:endParaRPr>
        </a:p>
        <a:p>
          <a:r>
            <a:rPr lang="en-US" sz="1100" b="1" i="1" baseline="0">
              <a:solidFill>
                <a:schemeClr val="dk1"/>
              </a:solidFill>
              <a:effectLst/>
              <a:latin typeface="+mn-lt"/>
              <a:ea typeface="+mn-ea"/>
              <a:cs typeface="+mn-cs"/>
            </a:rPr>
            <a:t>- Improved Transformer</a:t>
          </a:r>
          <a:r>
            <a:rPr lang="en-US" sz="1100" b="0" baseline="0">
              <a:solidFill>
                <a:schemeClr val="dk1"/>
              </a:solidFill>
              <a:effectLst/>
              <a:latin typeface="+mn-lt"/>
              <a:ea typeface="+mn-ea"/>
              <a:cs typeface="+mn-cs"/>
            </a:rPr>
            <a:t> efficiency was calculated based on the difference in losses of the "new" v. "old" units due to inefficiencies.  The reduction in losses was calculated to be 270MWhs.  This is a fixed number that will not change in future reports.</a:t>
          </a:r>
          <a:endParaRPr lang="en-US">
            <a:effectLst/>
          </a:endParaRPr>
        </a:p>
        <a:p>
          <a:r>
            <a:rPr lang="en-US" sz="1100" b="1" i="1" baseline="0">
              <a:solidFill>
                <a:schemeClr val="dk1"/>
              </a:solidFill>
              <a:effectLst/>
              <a:latin typeface="+mn-lt"/>
              <a:ea typeface="+mn-ea"/>
              <a:cs typeface="+mn-cs"/>
            </a:rPr>
            <a:t>- Reduced Wicket Gate </a:t>
          </a:r>
          <a:r>
            <a:rPr lang="en-US" sz="1100" b="0" i="0" baseline="0">
              <a:solidFill>
                <a:schemeClr val="dk1"/>
              </a:solidFill>
              <a:effectLst/>
              <a:latin typeface="+mn-lt"/>
              <a:ea typeface="+mn-ea"/>
              <a:cs typeface="+mn-cs"/>
            </a:rPr>
            <a:t>leakage was calculated for "before" and "after" upgrade leakage rates.  The amount of saved water that can subsequently be used for generation is highly variable and depends on the amount of time the wicket gates are closed (i.e., the generator is turned off) and the elevation of Riffe lake.  Due to this variability this analysis used actual operational data for </a:t>
          </a:r>
          <a:r>
            <a:rPr lang="en-US" sz="1100" b="1" i="0" u="sng" baseline="0">
              <a:solidFill>
                <a:schemeClr val="dk1"/>
              </a:solidFill>
              <a:effectLst/>
              <a:latin typeface="+mn-lt"/>
              <a:ea typeface="+mn-ea"/>
              <a:cs typeface="+mn-cs"/>
            </a:rPr>
            <a:t>2012</a:t>
          </a:r>
          <a:r>
            <a:rPr lang="en-US" sz="1100" b="0" i="0" baseline="0">
              <a:solidFill>
                <a:schemeClr val="dk1"/>
              </a:solidFill>
              <a:effectLst/>
              <a:latin typeface="+mn-lt"/>
              <a:ea typeface="+mn-ea"/>
              <a:cs typeface="+mn-cs"/>
            </a:rPr>
            <a:t> to calculate the water saved and increased generation.  This increase in generation will need to be re-calculated each compliance year.  </a:t>
          </a:r>
          <a:endParaRPr lang="en-US">
            <a:effectLst/>
          </a:endParaRPr>
        </a:p>
        <a:p>
          <a:r>
            <a:rPr lang="en-US" sz="1100" b="1">
              <a:solidFill>
                <a:schemeClr val="dk1"/>
              </a:solidFill>
              <a:effectLst/>
              <a:latin typeface="+mn-lt"/>
              <a:ea typeface="+mn-ea"/>
              <a:cs typeface="+mn-cs"/>
            </a:rPr>
            <a:t>Cushman No. 2:  </a:t>
          </a:r>
          <a:r>
            <a:rPr lang="en-US" sz="1100" b="0">
              <a:solidFill>
                <a:schemeClr val="dk1"/>
              </a:solidFill>
              <a:effectLst/>
              <a:latin typeface="+mn-lt"/>
              <a:ea typeface="+mn-ea"/>
              <a:cs typeface="+mn-cs"/>
            </a:rPr>
            <a:t>For</a:t>
          </a:r>
          <a:r>
            <a:rPr lang="en-US" sz="1100" b="0" baseline="0">
              <a:solidFill>
                <a:schemeClr val="dk1"/>
              </a:solidFill>
              <a:effectLst/>
              <a:latin typeface="+mn-lt"/>
              <a:ea typeface="+mn-ea"/>
              <a:cs typeface="+mn-cs"/>
            </a:rPr>
            <a:t> 2012, a single </a:t>
          </a:r>
          <a:r>
            <a:rPr lang="en-US" sz="1100" b="0">
              <a:solidFill>
                <a:schemeClr val="dk1"/>
              </a:solidFill>
              <a:effectLst/>
              <a:latin typeface="+mn-lt"/>
              <a:ea typeface="+mn-ea"/>
              <a:cs typeface="+mn-cs"/>
            </a:rPr>
            <a:t>upgrade </a:t>
          </a:r>
          <a:r>
            <a:rPr lang="en-US" sz="1100" b="0" baseline="0">
              <a:solidFill>
                <a:schemeClr val="dk1"/>
              </a:solidFill>
              <a:effectLst/>
              <a:latin typeface="+mn-lt"/>
              <a:ea typeface="+mn-ea"/>
              <a:cs typeface="+mn-cs"/>
            </a:rPr>
            <a:t>was completed at the Cushman No. 2 plant </a:t>
          </a:r>
          <a:r>
            <a:rPr lang="en-US" sz="1100" b="0">
              <a:solidFill>
                <a:schemeClr val="dk1"/>
              </a:solidFill>
              <a:effectLst/>
              <a:latin typeface="+mn-lt"/>
              <a:ea typeface="+mn-ea"/>
              <a:cs typeface="+mn-cs"/>
            </a:rPr>
            <a:t>that increased generation</a:t>
          </a:r>
          <a:r>
            <a:rPr lang="en-US" sz="1100" b="0" baseline="0">
              <a:solidFill>
                <a:schemeClr val="dk1"/>
              </a:solidFill>
              <a:effectLst/>
              <a:latin typeface="+mn-lt"/>
              <a:ea typeface="+mn-ea"/>
              <a:cs typeface="+mn-cs"/>
            </a:rPr>
            <a:t> .   For 2013 and years thereafter a second upgrade, the production from the third powerhouse will increase the incremental hydro attributable to this project</a:t>
          </a:r>
          <a:endParaRPr lang="en-US">
            <a:effectLst/>
          </a:endParaRPr>
        </a:p>
        <a:p>
          <a:pPr eaLnBrk="1" fontAlgn="auto" latinLnBrk="0" hangingPunct="1"/>
          <a:r>
            <a:rPr lang="en-US" sz="1100" b="1" i="1" baseline="0">
              <a:solidFill>
                <a:schemeClr val="dk1"/>
              </a:solidFill>
              <a:effectLst/>
              <a:latin typeface="+mn-lt"/>
              <a:ea typeface="+mn-ea"/>
              <a:cs typeface="+mn-cs"/>
            </a:rPr>
            <a:t>- Reduced Butterfly Valve </a:t>
          </a:r>
          <a:r>
            <a:rPr lang="en-US" sz="1100" b="0" i="0" baseline="0">
              <a:solidFill>
                <a:schemeClr val="dk1"/>
              </a:solidFill>
              <a:effectLst/>
              <a:latin typeface="+mn-lt"/>
              <a:ea typeface="+mn-ea"/>
              <a:cs typeface="+mn-cs"/>
            </a:rPr>
            <a:t>leakage was calculated for "before" and "after" upgrade leakage rates.  While the amount of saved water that can subsequently be used for generation depends on the amount of time the butterfly valves are closed (i.e., the generator is turned off), the overall increase in generation is relatively small.  As a result, the estimated 2126 MWhs of increased production was based on three years of operational data (2007, 2008, 2009).  </a:t>
          </a:r>
          <a:r>
            <a:rPr lang="en-US" sz="1100" b="0" baseline="0">
              <a:solidFill>
                <a:schemeClr val="dk1"/>
              </a:solidFill>
              <a:effectLst/>
              <a:latin typeface="+mn-lt"/>
              <a:ea typeface="+mn-ea"/>
              <a:cs typeface="+mn-cs"/>
            </a:rPr>
            <a:t>This is a fixed number that will not change in future reports.</a:t>
          </a:r>
          <a:r>
            <a:rPr lang="en-US" sz="1100" b="0" i="0" baseline="0">
              <a:solidFill>
                <a:schemeClr val="dk1"/>
              </a:solidFill>
              <a:effectLst/>
              <a:latin typeface="+mn-lt"/>
              <a:ea typeface="+mn-ea"/>
              <a:cs typeface="+mn-cs"/>
            </a:rPr>
            <a:t> </a:t>
          </a:r>
          <a:endParaRPr lang="en-US">
            <a:effectLst/>
          </a:endParaRPr>
        </a:p>
        <a:p>
          <a:pPr eaLnBrk="1" fontAlgn="auto" latinLnBrk="0" hangingPunct="1"/>
          <a:r>
            <a:rPr lang="en-US" sz="1100" b="1" i="0" baseline="0">
              <a:solidFill>
                <a:schemeClr val="dk1"/>
              </a:solidFill>
              <a:effectLst/>
              <a:latin typeface="+mn-lt"/>
              <a:ea typeface="+mn-ea"/>
              <a:cs typeface="+mn-cs"/>
            </a:rPr>
            <a:t>Cushman No.3 (NorthFork):  </a:t>
          </a:r>
          <a:r>
            <a:rPr lang="en-US" sz="1100" b="0" i="0" baseline="0">
              <a:solidFill>
                <a:schemeClr val="dk1"/>
              </a:solidFill>
              <a:effectLst/>
              <a:latin typeface="+mn-lt"/>
              <a:ea typeface="+mn-ea"/>
              <a:cs typeface="+mn-cs"/>
            </a:rPr>
            <a:t>Cushman No.3 (units 34 &amp; 35) began generating incremental hydro electricity on February 1, 2013.  The output for these units during calendar year 2013 were 9,660 MWh and 8,656 MWh respectively.  This figure will be updated fro each compliance year.</a:t>
          </a:r>
          <a:endParaRPr lang="en-US">
            <a:effectLst/>
          </a:endParaRPr>
        </a:p>
        <a:p>
          <a:r>
            <a:rPr lang="en-US" sz="1100" b="1">
              <a:solidFill>
                <a:schemeClr val="dk1"/>
              </a:solidFill>
              <a:effectLst/>
              <a:latin typeface="+mn-lt"/>
              <a:ea typeface="+mn-ea"/>
              <a:cs typeface="+mn-cs"/>
            </a:rPr>
            <a:t>Lagrande Unit No. 6:</a:t>
          </a:r>
          <a:r>
            <a:rPr lang="en-US" sz="1100" b="0">
              <a:solidFill>
                <a:schemeClr val="dk1"/>
              </a:solidFill>
              <a:effectLst/>
              <a:latin typeface="+mn-lt"/>
              <a:ea typeface="+mn-ea"/>
              <a:cs typeface="+mn-cs"/>
            </a:rPr>
            <a:t>  3,464 MWh figure from actual 2013 production.  This figure</a:t>
          </a:r>
          <a:r>
            <a:rPr lang="en-US" sz="1100" b="0" baseline="0">
              <a:solidFill>
                <a:schemeClr val="dk1"/>
              </a:solidFill>
              <a:effectLst/>
              <a:latin typeface="+mn-lt"/>
              <a:ea typeface="+mn-ea"/>
              <a:cs typeface="+mn-cs"/>
            </a:rPr>
            <a:t> </a:t>
          </a:r>
          <a:r>
            <a:rPr lang="en-US" sz="1100" b="0">
              <a:solidFill>
                <a:schemeClr val="dk1"/>
              </a:solidFill>
              <a:effectLst/>
              <a:latin typeface="+mn-lt"/>
              <a:ea typeface="+mn-ea"/>
              <a:cs typeface="+mn-cs"/>
            </a:rPr>
            <a:t>will be updated for each compliance year. </a:t>
          </a:r>
          <a:endParaRPr lang="en-US">
            <a:effectLst/>
          </a:endParaRPr>
        </a:p>
        <a:p>
          <a:r>
            <a:rPr lang="en-US" sz="1100" b="1">
              <a:solidFill>
                <a:schemeClr val="dk1"/>
              </a:solidFill>
              <a:effectLst/>
              <a:latin typeface="+mn-lt"/>
              <a:ea typeface="+mn-ea"/>
              <a:cs typeface="+mn-cs"/>
            </a:rPr>
            <a:t>Wanupum Development:   </a:t>
          </a:r>
          <a:r>
            <a:rPr lang="en-US" sz="1100" b="0">
              <a:solidFill>
                <a:schemeClr val="dk1"/>
              </a:solidFill>
              <a:effectLst/>
              <a:latin typeface="+mn-lt"/>
              <a:ea typeface="+mn-ea"/>
              <a:cs typeface="+mn-cs"/>
            </a:rPr>
            <a:t>3,442 MWhs figure</a:t>
          </a:r>
          <a:r>
            <a:rPr lang="en-US" sz="1100" b="0" baseline="0">
              <a:solidFill>
                <a:schemeClr val="dk1"/>
              </a:solidFill>
              <a:effectLst/>
              <a:latin typeface="+mn-lt"/>
              <a:ea typeface="+mn-ea"/>
              <a:cs typeface="+mn-cs"/>
            </a:rPr>
            <a:t> b</a:t>
          </a:r>
          <a:r>
            <a:rPr lang="en-US" sz="1100" b="0">
              <a:solidFill>
                <a:schemeClr val="dk1"/>
              </a:solidFill>
              <a:effectLst/>
              <a:latin typeface="+mn-lt"/>
              <a:ea typeface="+mn-ea"/>
              <a:cs typeface="+mn-cs"/>
            </a:rPr>
            <a:t>ased on data</a:t>
          </a:r>
          <a:r>
            <a:rPr lang="en-US" sz="1100" b="0" baseline="0">
              <a:solidFill>
                <a:schemeClr val="dk1"/>
              </a:solidFill>
              <a:effectLst/>
              <a:latin typeface="+mn-lt"/>
              <a:ea typeface="+mn-ea"/>
              <a:cs typeface="+mn-cs"/>
            </a:rPr>
            <a:t> supplied by </a:t>
          </a:r>
          <a:r>
            <a:rPr lang="en-US" sz="1100" b="0">
              <a:solidFill>
                <a:schemeClr val="dk1"/>
              </a:solidFill>
              <a:effectLst/>
              <a:latin typeface="+mn-lt"/>
              <a:ea typeface="+mn-ea"/>
              <a:cs typeface="+mn-cs"/>
            </a:rPr>
            <a:t>Grant Co. PUD for 2013.  This figure</a:t>
          </a:r>
          <a:r>
            <a:rPr lang="en-US" sz="1100" b="0" baseline="0">
              <a:solidFill>
                <a:schemeClr val="dk1"/>
              </a:solidFill>
              <a:effectLst/>
              <a:latin typeface="+mn-lt"/>
              <a:ea typeface="+mn-ea"/>
              <a:cs typeface="+mn-cs"/>
            </a:rPr>
            <a:t> </a:t>
          </a:r>
          <a:r>
            <a:rPr lang="en-US" sz="1100" b="0">
              <a:solidFill>
                <a:schemeClr val="dk1"/>
              </a:solidFill>
              <a:effectLst/>
              <a:latin typeface="+mn-lt"/>
              <a:ea typeface="+mn-ea"/>
              <a:cs typeface="+mn-cs"/>
            </a:rPr>
            <a:t>will be updated for each compliance year. </a:t>
          </a:r>
          <a:endParaRPr lang="en-US">
            <a:effectLst/>
          </a:endParaRPr>
        </a:p>
        <a:p>
          <a:r>
            <a:rPr lang="en-US" sz="1100" b="1" baseline="0">
              <a:solidFill>
                <a:schemeClr val="dk1"/>
              </a:solidFill>
              <a:effectLst/>
              <a:latin typeface="+mn-lt"/>
              <a:ea typeface="+mn-ea"/>
              <a:cs typeface="+mn-cs"/>
            </a:rPr>
            <a:t>BPA RECs:  </a:t>
          </a:r>
          <a:r>
            <a:rPr lang="en-US" sz="1100" b="0" baseline="0">
              <a:solidFill>
                <a:schemeClr val="dk1"/>
              </a:solidFill>
              <a:effectLst/>
              <a:latin typeface="+mn-lt"/>
              <a:ea typeface="+mn-ea"/>
              <a:cs typeface="+mn-cs"/>
            </a:rPr>
            <a:t>As a tier 1 customer, TP receives a portion of the RECs from BPA's wind projects.  The number of RECs is from TP's allocation for 2013.  The total applied to the 2013 compliance year is 28,519.  For future compliance year, BPA wind generation is not anticipated to be significantly different than the number reported for 2013.</a:t>
          </a:r>
          <a:endParaRPr lang="en-US">
            <a:effectLst/>
          </a:endParaRPr>
        </a:p>
        <a:p>
          <a:r>
            <a:rPr lang="en-US" sz="1100" b="0" baseline="0">
              <a:solidFill>
                <a:schemeClr val="dk1"/>
              </a:solidFill>
              <a:effectLst/>
              <a:latin typeface="+mn-lt"/>
              <a:ea typeface="+mn-ea"/>
              <a:cs typeface="+mn-cs"/>
            </a:rPr>
            <a:t> </a:t>
          </a:r>
          <a:endParaRPr lang="en-US">
            <a:effectLst/>
          </a:endParaRPr>
        </a:p>
        <a:p>
          <a:pPr eaLnBrk="1" fontAlgn="auto" latinLnBrk="0" hangingPunct="1"/>
          <a:r>
            <a:rPr lang="en-US" sz="1100" b="1">
              <a:solidFill>
                <a:schemeClr val="dk1"/>
              </a:solidFill>
              <a:effectLst/>
              <a:latin typeface="+mn-lt"/>
              <a:ea typeface="+mn-ea"/>
              <a:cs typeface="+mn-cs"/>
            </a:rPr>
            <a:t>Total</a:t>
          </a:r>
          <a:r>
            <a:rPr lang="en-US" sz="1100" b="1" baseline="0">
              <a:solidFill>
                <a:schemeClr val="dk1"/>
              </a:solidFill>
              <a:effectLst/>
              <a:latin typeface="+mn-lt"/>
              <a:ea typeface="+mn-ea"/>
              <a:cs typeface="+mn-cs"/>
            </a:rPr>
            <a:t> of Incremental Hydro, BPA RECs and Carryover RECs from 2013</a:t>
          </a:r>
          <a:r>
            <a:rPr lang="en-US" sz="1100" baseline="0">
              <a:solidFill>
                <a:schemeClr val="dk1"/>
              </a:solidFill>
              <a:effectLst/>
              <a:latin typeface="+mn-lt"/>
              <a:ea typeface="+mn-ea"/>
              <a:cs typeface="+mn-cs"/>
            </a:rPr>
            <a:t>:  Including the 20% apprenticeship labor credit , the total Incremental hydro for 2013 is 82,242 MWh.  The BPA RECs for 2013 total 28,519 MWh. The carryover RECs from 2013 equals 6,664 MWh. The total number equals 117,425 MWh.</a:t>
          </a:r>
          <a:endParaRPr lang="en-US">
            <a:effectLst/>
          </a:endParaRPr>
        </a:p>
        <a:p>
          <a:pPr eaLnBrk="1" fontAlgn="auto" latinLnBrk="0" hangingPunct="1"/>
          <a:r>
            <a:rPr lang="en-US" sz="1100" b="1" baseline="0">
              <a:solidFill>
                <a:schemeClr val="dk1"/>
              </a:solidFill>
              <a:effectLst/>
              <a:latin typeface="+mn-lt"/>
              <a:ea typeface="+mn-ea"/>
              <a:cs typeface="+mn-cs"/>
            </a:rPr>
            <a:t>Calculation of Residual RECs Needed:  </a:t>
          </a:r>
          <a:r>
            <a:rPr lang="en-US" sz="1100" baseline="0">
              <a:solidFill>
                <a:schemeClr val="dk1"/>
              </a:solidFill>
              <a:effectLst/>
              <a:latin typeface="+mn-lt"/>
              <a:ea typeface="+mn-ea"/>
              <a:cs typeface="+mn-cs"/>
            </a:rPr>
            <a:t>Subtracting this figure from the 143,326 MWh compliance mandate leaves a residual number of 25,901 RECs/MWHs.</a:t>
          </a:r>
          <a:endParaRPr lang="en-US">
            <a:effectLst/>
          </a:endParaRPr>
        </a:p>
        <a:p>
          <a:pPr eaLnBrk="1" fontAlgn="auto" latinLnBrk="0" hangingPunct="1"/>
          <a:r>
            <a:rPr lang="en-US" sz="1100" b="1">
              <a:solidFill>
                <a:schemeClr val="dk1"/>
              </a:solidFill>
              <a:effectLst/>
              <a:latin typeface="+mn-lt"/>
              <a:ea typeface="+mn-ea"/>
              <a:cs typeface="+mn-cs"/>
            </a:rPr>
            <a:t>Iberdrola</a:t>
          </a:r>
          <a:r>
            <a:rPr lang="en-US" sz="1100" b="1" baseline="0">
              <a:solidFill>
                <a:schemeClr val="dk1"/>
              </a:solidFill>
              <a:effectLst/>
              <a:latin typeface="+mn-lt"/>
              <a:ea typeface="+mn-ea"/>
              <a:cs typeface="+mn-cs"/>
            </a:rPr>
            <a:t> REC</a:t>
          </a:r>
          <a:r>
            <a:rPr lang="en-US" sz="1100" baseline="0">
              <a:solidFill>
                <a:schemeClr val="dk1"/>
              </a:solidFill>
              <a:effectLst/>
              <a:latin typeface="+mn-lt"/>
              <a:ea typeface="+mn-ea"/>
              <a:cs typeface="+mn-cs"/>
            </a:rPr>
            <a:t>:  Tacoma's REC contract with Iberdrola (signed in 2009) provided 61,332 RECs in 2013 from two wind projects.  </a:t>
          </a:r>
          <a:endParaRPr lang="en-US">
            <a:effectLst/>
          </a:endParaRPr>
        </a:p>
        <a:p>
          <a:pPr eaLnBrk="1" fontAlgn="auto" latinLnBrk="0" hangingPunct="1"/>
          <a:r>
            <a:rPr lang="en-US" sz="1100" b="1" baseline="0">
              <a:solidFill>
                <a:schemeClr val="dk1"/>
              </a:solidFill>
              <a:effectLst/>
              <a:latin typeface="+mn-lt"/>
              <a:ea typeface="+mn-ea"/>
              <a:cs typeface="+mn-cs"/>
            </a:rPr>
            <a:t>Carry over RECs 2014:  </a:t>
          </a:r>
          <a:r>
            <a:rPr lang="en-US" sz="1100" b="0" baseline="0">
              <a:solidFill>
                <a:schemeClr val="dk1"/>
              </a:solidFill>
              <a:effectLst/>
              <a:latin typeface="+mn-lt"/>
              <a:ea typeface="+mn-ea"/>
              <a:cs typeface="+mn-cs"/>
            </a:rPr>
            <a:t>After applying 25,901 of the Iberdrola RECs to Tacoma's 2014 compliance mandate, the utility will "carry over"  35,431 MWh wind RECs under the "banking" provisions included in the  Energy Independence Act for 2015.   </a:t>
          </a:r>
          <a:endParaRPr lang="en-US">
            <a:effectLst/>
          </a:endParaRPr>
        </a:p>
        <a:p>
          <a:endParaRPr lang="en-US"/>
        </a:p>
      </xdr:txBody>
    </xdr:sp>
    <xdr:clientData/>
  </xdr:twoCellAnchor>
  <xdr:twoCellAnchor>
    <xdr:from>
      <xdr:col>1</xdr:col>
      <xdr:colOff>19051</xdr:colOff>
      <xdr:row>20</xdr:row>
      <xdr:rowOff>152401</xdr:rowOff>
    </xdr:from>
    <xdr:to>
      <xdr:col>14</xdr:col>
      <xdr:colOff>514350</xdr:colOff>
      <xdr:row>33</xdr:row>
      <xdr:rowOff>66675</xdr:rowOff>
    </xdr:to>
    <xdr:sp macro="" textlink="">
      <xdr:nvSpPr>
        <xdr:cNvPr id="4" name="TextBox 3"/>
        <xdr:cNvSpPr txBox="1"/>
      </xdr:nvSpPr>
      <xdr:spPr>
        <a:xfrm>
          <a:off x="200026" y="4581526"/>
          <a:ext cx="1102042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2014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2014 for the purpose of meeting its Energy Independence Act (EIA) renewables target for 2014. The actual resources and RECs used to comply with the 2014 EIA target may vary from those reported here. Utilities will report in June of 2016 on the actual results for 2014.</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2014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2014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2</xdr:col>
          <xdr:colOff>22860</xdr:colOff>
          <xdr:row>8</xdr:row>
          <xdr:rowOff>15240</xdr:rowOff>
        </xdr:from>
        <xdr:to>
          <xdr:col>4</xdr:col>
          <xdr:colOff>571500</xdr:colOff>
          <xdr:row>9</xdr:row>
          <xdr:rowOff>22860</xdr:rowOff>
        </xdr:to>
        <xdr:sp macro="" textlink="">
          <xdr:nvSpPr>
            <xdr:cNvPr id="5448" name="Check Box 328" hidden="1">
              <a:extLst>
                <a:ext uri="{63B3BB69-23CF-44E3-9099-C40C66FF867C}">
                  <a14:compatExt spid="_x0000_s5448"/>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22860</xdr:colOff>
          <xdr:row>9</xdr:row>
          <xdr:rowOff>30480</xdr:rowOff>
        </xdr:from>
        <xdr:to>
          <xdr:col>5</xdr:col>
          <xdr:colOff>0</xdr:colOff>
          <xdr:row>10</xdr:row>
          <xdr:rowOff>30480</xdr:rowOff>
        </xdr:to>
        <xdr:sp macro="" textlink="">
          <xdr:nvSpPr>
            <xdr:cNvPr id="5449" name="Check Box 329" hidden="1">
              <a:extLst>
                <a:ext uri="{63B3BB69-23CF-44E3-9099-C40C66FF867C}">
                  <a14:compatExt spid="_x0000_s5449"/>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22860</xdr:colOff>
          <xdr:row>10</xdr:row>
          <xdr:rowOff>68580</xdr:rowOff>
        </xdr:from>
        <xdr:to>
          <xdr:col>5</xdr:col>
          <xdr:colOff>114300</xdr:colOff>
          <xdr:row>11</xdr:row>
          <xdr:rowOff>15240</xdr:rowOff>
        </xdr:to>
        <xdr:sp macro="" textlink="">
          <xdr:nvSpPr>
            <xdr:cNvPr id="5450" name="Check Box 330" hidden="1">
              <a:extLst>
                <a:ext uri="{63B3BB69-23CF-44E3-9099-C40C66FF867C}">
                  <a14:compatExt spid="_x0000_s5450"/>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row r="29">
          <cell r="D29">
            <v>0</v>
          </cell>
          <cell r="G29">
            <v>0</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mailto:jstafford@cityofTacoma.org"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hyperlink" Target="mailto:bdickens@cityoftacoma.org"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6"/>
    <pageSetUpPr fitToPage="1"/>
  </sheetPr>
  <dimension ref="A1:N66"/>
  <sheetViews>
    <sheetView workbookViewId="0">
      <selection activeCell="A5" sqref="A5"/>
    </sheetView>
  </sheetViews>
  <sheetFormatPr defaultRowHeight="14.4" x14ac:dyDescent="0.3"/>
  <cols>
    <col min="1" max="1" width="135.21875" customWidth="1"/>
    <col min="14" max="14" width="11.77734375" customWidth="1"/>
  </cols>
  <sheetData>
    <row r="1" spans="1:14" ht="18.75" x14ac:dyDescent="0.25">
      <c r="A1" s="125" t="s">
        <v>178</v>
      </c>
    </row>
    <row r="2" spans="1:14" ht="15" x14ac:dyDescent="0.25">
      <c r="A2" s="144" t="s">
        <v>219</v>
      </c>
    </row>
    <row r="3" spans="1:14" ht="15" x14ac:dyDescent="0.25">
      <c r="A3" s="126"/>
      <c r="N3" s="143"/>
    </row>
    <row r="4" spans="1:14" ht="15" x14ac:dyDescent="0.25">
      <c r="A4" s="127" t="s">
        <v>179</v>
      </c>
    </row>
    <row r="5" spans="1:14" x14ac:dyDescent="0.3">
      <c r="A5" s="127" t="s">
        <v>180</v>
      </c>
      <c r="N5">
        <f>IF(REN_Load_2012+REN_Load_2013&gt;0,AVERAGE(REN_Load_2012,REN_Load_2013),0)</f>
        <v>4777524</v>
      </c>
    </row>
    <row r="6" spans="1:14" ht="15" x14ac:dyDescent="0.25">
      <c r="A6" s="128" t="s">
        <v>181</v>
      </c>
    </row>
    <row r="7" spans="1:14" ht="15" x14ac:dyDescent="0.25">
      <c r="A7" s="126"/>
    </row>
    <row r="8" spans="1:14" ht="27.6" x14ac:dyDescent="0.3">
      <c r="A8" s="129" t="s">
        <v>182</v>
      </c>
    </row>
    <row r="9" spans="1:14" ht="27.6" x14ac:dyDescent="0.3">
      <c r="A9" s="129" t="s">
        <v>183</v>
      </c>
    </row>
    <row r="10" spans="1:14" ht="15" x14ac:dyDescent="0.25">
      <c r="A10" s="129"/>
    </row>
    <row r="11" spans="1:14" ht="15" x14ac:dyDescent="0.25">
      <c r="A11" s="130" t="s">
        <v>184</v>
      </c>
    </row>
    <row r="12" spans="1:14" ht="15" x14ac:dyDescent="0.25">
      <c r="A12" s="126"/>
    </row>
    <row r="13" spans="1:14" ht="72.75" x14ac:dyDescent="0.25">
      <c r="A13" s="131" t="s">
        <v>185</v>
      </c>
    </row>
    <row r="14" spans="1:14" x14ac:dyDescent="0.3">
      <c r="A14" s="126"/>
    </row>
    <row r="15" spans="1:14" ht="27.6" x14ac:dyDescent="0.3">
      <c r="A15" s="128" t="s">
        <v>186</v>
      </c>
    </row>
    <row r="16" spans="1:14" x14ac:dyDescent="0.3">
      <c r="A16" s="131"/>
    </row>
    <row r="17" spans="1:1" x14ac:dyDescent="0.3">
      <c r="A17" s="126"/>
    </row>
    <row r="18" spans="1:1" ht="17.399999999999999" x14ac:dyDescent="0.3">
      <c r="A18" s="132" t="s">
        <v>187</v>
      </c>
    </row>
    <row r="19" spans="1:1" x14ac:dyDescent="0.3">
      <c r="A19" s="127" t="s">
        <v>188</v>
      </c>
    </row>
    <row r="20" spans="1:1" ht="27.6" x14ac:dyDescent="0.3">
      <c r="A20" s="133" t="s">
        <v>189</v>
      </c>
    </row>
    <row r="21" spans="1:1" x14ac:dyDescent="0.3">
      <c r="A21" s="134" t="s">
        <v>190</v>
      </c>
    </row>
    <row r="22" spans="1:1" x14ac:dyDescent="0.3">
      <c r="A22" s="126"/>
    </row>
    <row r="23" spans="1:1" x14ac:dyDescent="0.3">
      <c r="A23" s="135" t="s">
        <v>191</v>
      </c>
    </row>
    <row r="24" spans="1:1" ht="28.95" x14ac:dyDescent="0.35">
      <c r="A24" s="136" t="s">
        <v>192</v>
      </c>
    </row>
    <row r="25" spans="1:1" ht="14.55" x14ac:dyDescent="0.35">
      <c r="A25" s="137" t="s">
        <v>193</v>
      </c>
    </row>
    <row r="26" spans="1:1" ht="14.55" x14ac:dyDescent="0.35">
      <c r="A26" s="126"/>
    </row>
    <row r="27" spans="1:1" ht="42" x14ac:dyDescent="0.35">
      <c r="A27" s="127" t="s">
        <v>194</v>
      </c>
    </row>
    <row r="28" spans="1:1" ht="14.55" x14ac:dyDescent="0.35">
      <c r="A28" s="138"/>
    </row>
    <row r="29" spans="1:1" ht="42" x14ac:dyDescent="0.35">
      <c r="A29" s="131" t="s">
        <v>195</v>
      </c>
    </row>
    <row r="30" spans="1:1" ht="14.55" x14ac:dyDescent="0.35">
      <c r="A30" s="126"/>
    </row>
    <row r="31" spans="1:1" ht="42" x14ac:dyDescent="0.35">
      <c r="A31" s="128" t="s">
        <v>196</v>
      </c>
    </row>
    <row r="32" spans="1:1" ht="14.55" x14ac:dyDescent="0.35">
      <c r="A32" s="126"/>
    </row>
    <row r="33" spans="1:1" ht="55.95" x14ac:dyDescent="0.35">
      <c r="A33" s="127" t="s">
        <v>197</v>
      </c>
    </row>
    <row r="34" spans="1:1" ht="14.55" x14ac:dyDescent="0.35">
      <c r="A34" s="129"/>
    </row>
    <row r="35" spans="1:1" ht="28.05" x14ac:dyDescent="0.35">
      <c r="A35" s="129" t="s">
        <v>198</v>
      </c>
    </row>
    <row r="36" spans="1:1" ht="14.55" x14ac:dyDescent="0.35">
      <c r="A36" s="136" t="s">
        <v>199</v>
      </c>
    </row>
    <row r="37" spans="1:1" ht="14.55" x14ac:dyDescent="0.35">
      <c r="A37" s="136" t="s">
        <v>200</v>
      </c>
    </row>
    <row r="38" spans="1:1" ht="14.55" x14ac:dyDescent="0.35">
      <c r="A38" s="139" t="s">
        <v>201</v>
      </c>
    </row>
    <row r="39" spans="1:1" ht="14.55" x14ac:dyDescent="0.35">
      <c r="A39" s="126"/>
    </row>
    <row r="40" spans="1:1" ht="28.05" x14ac:dyDescent="0.35">
      <c r="A40" s="128" t="s">
        <v>202</v>
      </c>
    </row>
    <row r="41" spans="1:1" ht="14.55" x14ac:dyDescent="0.35">
      <c r="A41" s="126"/>
    </row>
    <row r="42" spans="1:1" ht="16.95" x14ac:dyDescent="0.35">
      <c r="A42" s="132" t="s">
        <v>203</v>
      </c>
    </row>
    <row r="43" spans="1:1" ht="28.05" x14ac:dyDescent="0.35">
      <c r="A43" s="131" t="s">
        <v>204</v>
      </c>
    </row>
    <row r="44" spans="1:1" ht="14.55" x14ac:dyDescent="0.35">
      <c r="A44" s="126"/>
    </row>
    <row r="45" spans="1:1" ht="42" x14ac:dyDescent="0.35">
      <c r="A45" s="128" t="s">
        <v>205</v>
      </c>
    </row>
    <row r="46" spans="1:1" ht="14.55" x14ac:dyDescent="0.35">
      <c r="A46" s="126"/>
    </row>
    <row r="47" spans="1:1" ht="42" x14ac:dyDescent="0.35">
      <c r="A47" s="128" t="s">
        <v>206</v>
      </c>
    </row>
    <row r="48" spans="1:1" ht="14.55" x14ac:dyDescent="0.35">
      <c r="A48" s="126"/>
    </row>
    <row r="49" spans="1:1" ht="28.05" x14ac:dyDescent="0.35">
      <c r="A49" s="128" t="s">
        <v>207</v>
      </c>
    </row>
    <row r="50" spans="1:1" ht="14.55" x14ac:dyDescent="0.35">
      <c r="A50" s="126"/>
    </row>
    <row r="51" spans="1:1" ht="14.55" x14ac:dyDescent="0.35">
      <c r="A51" s="127" t="s">
        <v>208</v>
      </c>
    </row>
    <row r="52" spans="1:1" ht="42" x14ac:dyDescent="0.35">
      <c r="A52" s="131" t="s">
        <v>209</v>
      </c>
    </row>
    <row r="53" spans="1:1" ht="14.55" x14ac:dyDescent="0.35">
      <c r="A53" s="126"/>
    </row>
    <row r="54" spans="1:1" ht="55.95" x14ac:dyDescent="0.35">
      <c r="A54" s="140" t="s">
        <v>210</v>
      </c>
    </row>
    <row r="55" spans="1:1" ht="14.55" x14ac:dyDescent="0.35">
      <c r="A55" s="126"/>
    </row>
    <row r="56" spans="1:1" ht="55.95" x14ac:dyDescent="0.35">
      <c r="A56" s="128" t="s">
        <v>211</v>
      </c>
    </row>
    <row r="57" spans="1:1" ht="14.55" x14ac:dyDescent="0.35">
      <c r="A57" s="126"/>
    </row>
    <row r="58" spans="1:1" ht="55.95" x14ac:dyDescent="0.35">
      <c r="A58" s="128" t="s">
        <v>212</v>
      </c>
    </row>
    <row r="59" spans="1:1" ht="14.55" x14ac:dyDescent="0.35">
      <c r="A59" s="126"/>
    </row>
    <row r="60" spans="1:1" ht="14.55" x14ac:dyDescent="0.35">
      <c r="A60" s="127" t="s">
        <v>213</v>
      </c>
    </row>
    <row r="61" spans="1:1" ht="28.05" x14ac:dyDescent="0.35">
      <c r="A61" s="131" t="s">
        <v>214</v>
      </c>
    </row>
    <row r="62" spans="1:1" ht="14.55" x14ac:dyDescent="0.35">
      <c r="A62" s="126"/>
    </row>
    <row r="63" spans="1:1" ht="14.55" x14ac:dyDescent="0.35">
      <c r="A63" s="127" t="s">
        <v>215</v>
      </c>
    </row>
    <row r="64" spans="1:1" ht="28.05" x14ac:dyDescent="0.35">
      <c r="A64" s="131" t="s">
        <v>216</v>
      </c>
    </row>
    <row r="65" spans="1:1" ht="14.55" x14ac:dyDescent="0.35">
      <c r="A65" s="126"/>
    </row>
    <row r="66" spans="1:1" ht="15" thickBot="1" x14ac:dyDescent="0.4">
      <c r="A66" s="141" t="s">
        <v>217</v>
      </c>
    </row>
  </sheetData>
  <pageMargins left="0.7" right="0.7" top="0.75" bottom="0.75" header="0.3" footer="0.3"/>
  <pageSetup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F0"/>
    <pageSetUpPr fitToPage="1"/>
  </sheetPr>
  <dimension ref="A1:N5"/>
  <sheetViews>
    <sheetView workbookViewId="0">
      <selection activeCell="A5" sqref="A5"/>
    </sheetView>
  </sheetViews>
  <sheetFormatPr defaultRowHeight="14.4" x14ac:dyDescent="0.3"/>
  <cols>
    <col min="1" max="1" width="107" customWidth="1"/>
    <col min="14" max="14" width="11.77734375" customWidth="1"/>
  </cols>
  <sheetData>
    <row r="1" spans="1:14" ht="17.399999999999999" x14ac:dyDescent="0.3">
      <c r="A1" s="121" t="s">
        <v>176</v>
      </c>
    </row>
    <row r="2" spans="1:14" ht="18.75" x14ac:dyDescent="0.25">
      <c r="A2" s="122"/>
    </row>
    <row r="3" spans="1:14" ht="57" x14ac:dyDescent="0.25">
      <c r="A3" s="123" t="s">
        <v>218</v>
      </c>
      <c r="N3" s="143"/>
    </row>
    <row r="4" spans="1:14" ht="15" x14ac:dyDescent="0.25">
      <c r="A4" s="123"/>
    </row>
    <row r="5" spans="1:14" ht="29.25" thickBot="1" x14ac:dyDescent="0.3">
      <c r="A5" s="124" t="s">
        <v>177</v>
      </c>
      <c r="N5">
        <f>IF(REN_Load_2012+REN_Load_2013&gt;0,AVERAGE(REN_Load_2012,REN_Load_2013),0)</f>
        <v>4777524</v>
      </c>
    </row>
  </sheetData>
  <pageMargins left="0.7" right="0.7" top="0.75" bottom="0.75" header="0.3" footer="0.3"/>
  <pageSetup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sheetPr>
  <dimension ref="A1:O136"/>
  <sheetViews>
    <sheetView topLeftCell="A19" zoomScaleNormal="100" workbookViewId="0">
      <selection activeCell="E65" sqref="E65"/>
    </sheetView>
  </sheetViews>
  <sheetFormatPr defaultColWidth="9.21875" defaultRowHeight="13.2" x14ac:dyDescent="0.25"/>
  <cols>
    <col min="1" max="1" width="3.21875" style="1" customWidth="1"/>
    <col min="2" max="2" width="16.77734375" style="1" customWidth="1"/>
    <col min="3" max="3" width="29" style="1" bestFit="1" customWidth="1"/>
    <col min="4" max="4" width="17.21875" style="1" customWidth="1"/>
    <col min="5" max="5" width="16" style="1" customWidth="1"/>
    <col min="6" max="6" width="4.44140625" style="1" customWidth="1"/>
    <col min="7" max="7" width="14.44140625" style="1" customWidth="1"/>
    <col min="8" max="8" width="15.21875" style="1" customWidth="1"/>
    <col min="9" max="9" width="12.21875" style="1" customWidth="1"/>
    <col min="10" max="10" width="11.21875" style="1" customWidth="1"/>
    <col min="11" max="11" width="9.21875" style="1"/>
    <col min="12" max="12" width="10.21875" style="1" bestFit="1" customWidth="1"/>
    <col min="13" max="13" width="9.21875" style="1"/>
    <col min="14" max="14" width="11.77734375" style="1" customWidth="1"/>
    <col min="15" max="16384" width="9.21875" style="1"/>
  </cols>
  <sheetData>
    <row r="1" spans="1:14" s="7" customFormat="1" ht="19.5" x14ac:dyDescent="0.4">
      <c r="B1" s="89" t="s">
        <v>77</v>
      </c>
    </row>
    <row r="2" spans="1:14" ht="15" customHeight="1" x14ac:dyDescent="0.2">
      <c r="B2" s="2"/>
    </row>
    <row r="3" spans="1:14" ht="14.25" customHeight="1" thickBot="1" x14ac:dyDescent="0.25">
      <c r="B3" s="3" t="s">
        <v>4</v>
      </c>
      <c r="C3" s="192" t="s">
        <v>220</v>
      </c>
      <c r="D3" s="192"/>
      <c r="E3" s="192"/>
      <c r="G3" s="189" t="s">
        <v>85</v>
      </c>
      <c r="H3" s="189"/>
      <c r="I3" s="189"/>
      <c r="J3" s="189"/>
      <c r="N3" s="142"/>
    </row>
    <row r="4" spans="1:14" ht="15" customHeight="1" x14ac:dyDescent="0.2">
      <c r="B4" s="4" t="s">
        <v>84</v>
      </c>
      <c r="C4" s="193">
        <v>41790</v>
      </c>
      <c r="D4" s="194"/>
      <c r="E4" s="194"/>
      <c r="F4" s="16"/>
      <c r="H4" s="109" t="s">
        <v>81</v>
      </c>
      <c r="I4" s="108"/>
      <c r="J4" s="109" t="s">
        <v>82</v>
      </c>
    </row>
    <row r="5" spans="1:14" ht="15" customHeight="1" x14ac:dyDescent="0.2">
      <c r="B5" s="5" t="s">
        <v>83</v>
      </c>
      <c r="C5" s="195" t="s">
        <v>221</v>
      </c>
      <c r="D5" s="196"/>
      <c r="E5" s="196"/>
      <c r="F5" s="7"/>
      <c r="H5" s="107" t="s">
        <v>80</v>
      </c>
      <c r="J5" s="107" t="s">
        <v>80</v>
      </c>
    </row>
    <row r="6" spans="1:14" ht="15" customHeight="1" x14ac:dyDescent="0.2">
      <c r="B6" s="5" t="s">
        <v>1</v>
      </c>
      <c r="C6" s="196" t="s">
        <v>222</v>
      </c>
      <c r="D6" s="196"/>
      <c r="E6" s="196"/>
      <c r="F6" s="7"/>
      <c r="G6" s="91" t="s">
        <v>66</v>
      </c>
      <c r="H6" s="92">
        <f>CON_Target_2012_2013</f>
        <v>99338</v>
      </c>
      <c r="I6" s="91" t="s">
        <v>66</v>
      </c>
      <c r="J6" s="93">
        <f>CON_Target_2014_2015</f>
        <v>70956</v>
      </c>
      <c r="M6" s="173"/>
      <c r="N6" s="173"/>
    </row>
    <row r="7" spans="1:14" ht="15" customHeight="1" x14ac:dyDescent="0.2">
      <c r="B7" s="5" t="s">
        <v>2</v>
      </c>
      <c r="C7" s="197" t="s">
        <v>223</v>
      </c>
      <c r="D7" s="198"/>
      <c r="E7" s="198"/>
      <c r="F7" s="7"/>
      <c r="G7" s="91" t="s">
        <v>67</v>
      </c>
      <c r="H7" s="94">
        <f>CON_2012_MWH+CON_2013_MWH</f>
        <v>134524.40438799409</v>
      </c>
      <c r="M7" s="173"/>
    </row>
    <row r="8" spans="1:14" ht="15" customHeight="1" thickBot="1" x14ac:dyDescent="0.25">
      <c r="B8" s="5"/>
      <c r="C8" s="90"/>
      <c r="D8" s="7"/>
      <c r="E8" s="7"/>
      <c r="F8" s="7"/>
      <c r="G8" s="91" t="s">
        <v>68</v>
      </c>
      <c r="H8" s="95">
        <f>H6-H7</f>
        <v>-35186.404387994087</v>
      </c>
      <c r="M8" s="173"/>
    </row>
    <row r="9" spans="1:14" s="7" customFormat="1" ht="13.5" thickTop="1" x14ac:dyDescent="0.2">
      <c r="B9" s="202" t="s">
        <v>69</v>
      </c>
      <c r="C9" s="202"/>
      <c r="D9" s="202"/>
      <c r="E9" s="202"/>
      <c r="F9" s="203"/>
    </row>
    <row r="10" spans="1:14" s="7" customFormat="1" ht="12.75" x14ac:dyDescent="0.2">
      <c r="B10" s="184" t="s">
        <v>36</v>
      </c>
      <c r="C10" s="185"/>
      <c r="D10" s="185" t="s">
        <v>72</v>
      </c>
      <c r="E10" s="185"/>
    </row>
    <row r="11" spans="1:14" ht="52.5" customHeight="1" x14ac:dyDescent="0.2">
      <c r="B11" s="96" t="s">
        <v>75</v>
      </c>
      <c r="C11" s="17" t="s">
        <v>51</v>
      </c>
      <c r="D11" s="17" t="s">
        <v>74</v>
      </c>
      <c r="E11" s="97" t="s">
        <v>73</v>
      </c>
    </row>
    <row r="12" spans="1:14" ht="15" customHeight="1" x14ac:dyDescent="0.2">
      <c r="B12" s="98">
        <v>496692</v>
      </c>
      <c r="C12" s="99">
        <v>99338</v>
      </c>
      <c r="D12" s="99">
        <v>354780</v>
      </c>
      <c r="E12" s="100">
        <v>70956</v>
      </c>
    </row>
    <row r="13" spans="1:14" ht="15" customHeight="1" thickBot="1" x14ac:dyDescent="0.25">
      <c r="B13" s="7"/>
      <c r="C13" s="7"/>
      <c r="D13" s="7"/>
      <c r="E13" s="7"/>
      <c r="F13" s="7"/>
      <c r="G13" s="7"/>
      <c r="H13" s="7"/>
    </row>
    <row r="14" spans="1:14" ht="13.8" thickTop="1" x14ac:dyDescent="0.25">
      <c r="B14" s="188" t="s">
        <v>3</v>
      </c>
      <c r="C14" s="188"/>
      <c r="D14" s="188"/>
      <c r="E14" s="188"/>
      <c r="F14" s="188"/>
      <c r="G14" s="188"/>
      <c r="H14" s="188"/>
    </row>
    <row r="15" spans="1:14" ht="15" customHeight="1" x14ac:dyDescent="0.25">
      <c r="A15" s="7"/>
      <c r="B15" s="18"/>
      <c r="D15" s="185" t="s">
        <v>49</v>
      </c>
      <c r="E15" s="185"/>
      <c r="G15" s="185" t="s">
        <v>71</v>
      </c>
      <c r="H15" s="185"/>
    </row>
    <row r="16" spans="1:14" ht="30.75" customHeight="1" x14ac:dyDescent="0.25">
      <c r="A16" s="7"/>
      <c r="C16" s="19" t="s">
        <v>43</v>
      </c>
      <c r="D16" s="17" t="s">
        <v>7</v>
      </c>
      <c r="E16" s="17" t="s">
        <v>8</v>
      </c>
      <c r="G16" s="17" t="s">
        <v>7</v>
      </c>
      <c r="H16" s="17" t="s">
        <v>8</v>
      </c>
    </row>
    <row r="17" spans="1:15" ht="15" customHeight="1" x14ac:dyDescent="0.25">
      <c r="A17" s="7"/>
      <c r="C17" s="35" t="s">
        <v>9</v>
      </c>
      <c r="D17" s="101">
        <f>(D66+D106)/1000</f>
        <v>23245.13941219827</v>
      </c>
      <c r="E17" s="112">
        <v>8100814</v>
      </c>
      <c r="G17" s="101">
        <f>(E66+E106)/1000</f>
        <v>24194.369914103583</v>
      </c>
      <c r="H17" s="112">
        <v>7886452</v>
      </c>
      <c r="K17" s="173"/>
    </row>
    <row r="18" spans="1:15" ht="15" customHeight="1" x14ac:dyDescent="0.25">
      <c r="A18" s="7"/>
      <c r="C18" s="35" t="s">
        <v>10</v>
      </c>
      <c r="D18" s="101">
        <f>D75/1000</f>
        <v>23118.516820000001</v>
      </c>
      <c r="E18" s="112">
        <v>4360088</v>
      </c>
      <c r="G18" s="101">
        <f>E75/1000</f>
        <v>18330.51971</v>
      </c>
      <c r="H18" s="112">
        <v>3591803</v>
      </c>
      <c r="K18" s="173"/>
    </row>
    <row r="19" spans="1:15" ht="15" customHeight="1" x14ac:dyDescent="0.25">
      <c r="A19" s="7"/>
      <c r="C19" s="35" t="s">
        <v>11</v>
      </c>
      <c r="D19" s="101">
        <f>D83/1000</f>
        <v>2989.0091799999996</v>
      </c>
      <c r="E19" s="112">
        <v>563719</v>
      </c>
      <c r="G19" s="101">
        <f>E83/1000</f>
        <v>7858.9303200000004</v>
      </c>
      <c r="H19" s="112">
        <v>1539931</v>
      </c>
      <c r="K19" s="173"/>
    </row>
    <row r="20" spans="1:15" ht="15" customHeight="1" x14ac:dyDescent="0.25">
      <c r="A20" s="7"/>
      <c r="C20" s="35" t="s">
        <v>12</v>
      </c>
      <c r="D20" s="101">
        <v>0</v>
      </c>
      <c r="E20" s="112">
        <v>0</v>
      </c>
      <c r="G20" s="101">
        <v>0</v>
      </c>
      <c r="H20" s="112">
        <v>0</v>
      </c>
      <c r="K20" s="173"/>
    </row>
    <row r="21" spans="1:15" ht="15" customHeight="1" x14ac:dyDescent="0.25">
      <c r="A21" s="7"/>
      <c r="C21" s="35" t="s">
        <v>38</v>
      </c>
      <c r="D21" s="101">
        <v>0</v>
      </c>
      <c r="E21" s="112">
        <v>0</v>
      </c>
      <c r="G21" s="101">
        <f>E86/1000</f>
        <v>2556.0218199999999</v>
      </c>
      <c r="H21" s="112">
        <v>122670</v>
      </c>
      <c r="K21" s="173"/>
    </row>
    <row r="22" spans="1:15" ht="15" customHeight="1" x14ac:dyDescent="0.25">
      <c r="A22" s="7"/>
      <c r="C22" s="36" t="s">
        <v>39</v>
      </c>
      <c r="D22" s="101">
        <v>0</v>
      </c>
      <c r="E22" s="112">
        <v>0</v>
      </c>
      <c r="G22" s="101">
        <v>0</v>
      </c>
      <c r="H22" s="112"/>
      <c r="K22" s="173"/>
      <c r="L22" s="173"/>
      <c r="M22" s="173"/>
      <c r="N22" s="173"/>
      <c r="O22" s="175"/>
    </row>
    <row r="23" spans="1:15" ht="15" customHeight="1" x14ac:dyDescent="0.25">
      <c r="A23" s="7"/>
      <c r="C23" s="36" t="s">
        <v>5</v>
      </c>
      <c r="D23" s="102">
        <v>16359.90796665565</v>
      </c>
      <c r="E23" s="112">
        <v>428068.9</v>
      </c>
      <c r="G23" s="102">
        <v>15871.989245036573</v>
      </c>
      <c r="H23" s="112">
        <v>427224</v>
      </c>
      <c r="K23" s="173"/>
      <c r="M23" s="174"/>
      <c r="N23" s="173"/>
      <c r="O23" s="173"/>
    </row>
    <row r="24" spans="1:15" ht="15" customHeight="1" x14ac:dyDescent="0.25">
      <c r="A24" s="7"/>
      <c r="C24" s="103"/>
      <c r="D24" s="102"/>
      <c r="E24" s="112"/>
      <c r="G24" s="102"/>
      <c r="H24" s="112"/>
    </row>
    <row r="25" spans="1:15" ht="15" customHeight="1" x14ac:dyDescent="0.25">
      <c r="A25" s="7"/>
      <c r="C25" s="103"/>
      <c r="D25" s="102"/>
      <c r="E25" s="112"/>
      <c r="G25" s="102"/>
      <c r="H25" s="112"/>
    </row>
    <row r="26" spans="1:15" ht="30.75" customHeight="1" x14ac:dyDescent="0.25">
      <c r="A26" s="7"/>
      <c r="B26" s="190" t="s">
        <v>70</v>
      </c>
      <c r="C26" s="191"/>
      <c r="E26" s="113">
        <v>1317034.6299999999</v>
      </c>
      <c r="H26" s="113">
        <v>1313252.3799999999</v>
      </c>
    </row>
    <row r="27" spans="1:15" ht="15" customHeight="1" x14ac:dyDescent="0.25">
      <c r="A27" s="7"/>
      <c r="C27" s="104"/>
      <c r="D27" s="110"/>
      <c r="E27" s="112"/>
      <c r="G27" s="110"/>
      <c r="H27" s="112"/>
    </row>
    <row r="28" spans="1:15" ht="15" customHeight="1" x14ac:dyDescent="0.25">
      <c r="A28" s="7"/>
      <c r="C28" s="104"/>
      <c r="D28" s="111"/>
      <c r="E28" s="112"/>
      <c r="G28" s="111"/>
      <c r="H28" s="112"/>
    </row>
    <row r="29" spans="1:15" ht="15" customHeight="1" x14ac:dyDescent="0.25">
      <c r="C29" s="37" t="s">
        <v>6</v>
      </c>
      <c r="D29" s="34">
        <f>SUM(D17:D25)</f>
        <v>65712.573378853922</v>
      </c>
      <c r="E29" s="114">
        <f>SUM(E17:E28)</f>
        <v>14769724.530000001</v>
      </c>
      <c r="G29" s="34">
        <f>SUM(G17:G25)</f>
        <v>68811.831009140151</v>
      </c>
      <c r="H29" s="114">
        <f>SUM(H17:H28)</f>
        <v>14881332.379999999</v>
      </c>
    </row>
    <row r="30" spans="1:15" ht="15" customHeight="1" x14ac:dyDescent="0.25">
      <c r="B30" s="20"/>
      <c r="C30" s="21"/>
      <c r="D30" s="22"/>
      <c r="E30" s="21"/>
      <c r="F30" s="22"/>
    </row>
    <row r="31" spans="1:15" s="7" customFormat="1" ht="15" customHeight="1" x14ac:dyDescent="0.25">
      <c r="B31" s="3" t="s">
        <v>4</v>
      </c>
      <c r="C31" s="199" t="str">
        <f>CON_Utility_Name</f>
        <v>Tacoma Power</v>
      </c>
      <c r="D31" s="199"/>
      <c r="E31" s="199"/>
      <c r="F31" s="199"/>
    </row>
    <row r="32" spans="1:15" s="7" customFormat="1" ht="21" customHeight="1" x14ac:dyDescent="0.25">
      <c r="B32" s="3"/>
      <c r="C32" s="6"/>
      <c r="D32" s="6"/>
      <c r="E32" s="6"/>
      <c r="F32" s="6"/>
    </row>
    <row r="33" spans="2:6" s="23" customFormat="1" x14ac:dyDescent="0.3">
      <c r="B33" s="200" t="s">
        <v>76</v>
      </c>
      <c r="C33" s="201"/>
      <c r="D33" s="201"/>
      <c r="E33" s="201"/>
      <c r="F33" s="201"/>
    </row>
    <row r="34" spans="2:6" ht="15" customHeight="1" x14ac:dyDescent="0.25"/>
    <row r="35" spans="2:6" ht="15" customHeight="1" x14ac:dyDescent="0.25"/>
    <row r="36" spans="2:6" ht="15" customHeight="1" x14ac:dyDescent="0.25"/>
    <row r="37" spans="2:6" ht="15" customHeight="1" x14ac:dyDescent="0.25"/>
    <row r="38" spans="2:6" ht="15" customHeight="1" x14ac:dyDescent="0.25"/>
    <row r="39" spans="2:6" ht="15" customHeight="1" x14ac:dyDescent="0.25"/>
    <row r="40" spans="2:6" ht="15" customHeight="1" x14ac:dyDescent="0.25"/>
    <row r="41" spans="2:6" ht="15" customHeight="1" x14ac:dyDescent="0.25"/>
    <row r="42" spans="2:6" ht="15" customHeight="1" x14ac:dyDescent="0.25"/>
    <row r="43" spans="2:6" ht="15" customHeight="1" x14ac:dyDescent="0.25"/>
    <row r="44" spans="2:6" ht="15" customHeight="1" x14ac:dyDescent="0.25"/>
    <row r="45" spans="2:6" ht="15" customHeight="1" x14ac:dyDescent="0.25"/>
    <row r="46" spans="2:6" x14ac:dyDescent="0.25">
      <c r="B46" s="11" t="s">
        <v>37</v>
      </c>
    </row>
    <row r="50" spans="2:10" ht="15.6" x14ac:dyDescent="0.3">
      <c r="B50" s="146" t="s">
        <v>224</v>
      </c>
      <c r="C50" s="147"/>
      <c r="D50" s="147"/>
      <c r="E50" s="147"/>
      <c r="F50" s="147"/>
      <c r="G50" s="147"/>
      <c r="H50" s="165"/>
      <c r="I50" s="165"/>
      <c r="J50" s="166"/>
    </row>
    <row r="51" spans="2:10" x14ac:dyDescent="0.25">
      <c r="B51" s="148"/>
      <c r="C51" s="145"/>
      <c r="D51" s="145"/>
      <c r="E51" s="145"/>
      <c r="F51" s="145"/>
      <c r="G51" s="145"/>
      <c r="H51" s="145"/>
      <c r="I51" s="145"/>
      <c r="J51" s="149"/>
    </row>
    <row r="52" spans="2:10" ht="13.8" x14ac:dyDescent="0.25">
      <c r="B52" s="150" t="s">
        <v>225</v>
      </c>
      <c r="C52" s="145"/>
      <c r="D52" s="145"/>
      <c r="E52" s="145"/>
      <c r="F52" s="145"/>
      <c r="G52" s="145"/>
      <c r="H52" s="145"/>
      <c r="I52" s="145"/>
      <c r="J52" s="149"/>
    </row>
    <row r="53" spans="2:10" x14ac:dyDescent="0.25">
      <c r="B53" s="148"/>
      <c r="C53" s="145"/>
      <c r="D53" s="145"/>
      <c r="E53" s="145"/>
      <c r="F53" s="145"/>
      <c r="G53" s="145"/>
      <c r="H53" s="145"/>
      <c r="I53" s="145"/>
      <c r="J53" s="149"/>
    </row>
    <row r="54" spans="2:10" x14ac:dyDescent="0.25">
      <c r="B54" s="151"/>
      <c r="C54" s="152" t="s">
        <v>226</v>
      </c>
      <c r="D54" s="153">
        <v>2012</v>
      </c>
      <c r="E54" s="153">
        <v>2013</v>
      </c>
      <c r="F54" s="145"/>
      <c r="G54" s="154" t="s">
        <v>6</v>
      </c>
      <c r="H54" s="145"/>
      <c r="I54" s="145"/>
      <c r="J54" s="149"/>
    </row>
    <row r="55" spans="2:10" x14ac:dyDescent="0.25">
      <c r="B55" s="148" t="s">
        <v>227</v>
      </c>
      <c r="C55" s="145"/>
      <c r="D55" s="145"/>
      <c r="E55" s="155"/>
      <c r="F55" s="145"/>
      <c r="G55" s="145"/>
      <c r="H55" s="145"/>
      <c r="I55" s="145"/>
      <c r="J55" s="149"/>
    </row>
    <row r="56" spans="2:10" x14ac:dyDescent="0.25">
      <c r="B56" s="148"/>
      <c r="C56" s="145" t="s">
        <v>228</v>
      </c>
      <c r="D56" s="156">
        <v>844341</v>
      </c>
      <c r="E56" s="157">
        <v>850109</v>
      </c>
      <c r="F56" s="145"/>
      <c r="G56" s="158">
        <f t="shared" ref="G56:G66" si="0">SUM(D56:E56)</f>
        <v>1694450</v>
      </c>
      <c r="H56" s="145"/>
      <c r="I56" s="145"/>
      <c r="J56" s="149"/>
    </row>
    <row r="57" spans="2:10" x14ac:dyDescent="0.25">
      <c r="B57" s="148"/>
      <c r="C57" s="145" t="s">
        <v>229</v>
      </c>
      <c r="D57" s="156">
        <v>10480083.916286469</v>
      </c>
      <c r="E57" s="157">
        <v>9758943.6000000015</v>
      </c>
      <c r="F57" s="145"/>
      <c r="G57" s="158">
        <f t="shared" si="0"/>
        <v>20239027.51628647</v>
      </c>
      <c r="H57" s="145"/>
      <c r="I57" s="145"/>
      <c r="J57" s="149"/>
    </row>
    <row r="58" spans="2:10" x14ac:dyDescent="0.25">
      <c r="B58" s="148"/>
      <c r="C58" s="145" t="s">
        <v>230</v>
      </c>
      <c r="D58" s="156">
        <v>384660</v>
      </c>
      <c r="E58" s="157">
        <v>2068</v>
      </c>
      <c r="F58" s="145"/>
      <c r="G58" s="158">
        <f t="shared" si="0"/>
        <v>386728</v>
      </c>
      <c r="H58" s="145"/>
      <c r="I58" s="145"/>
      <c r="J58" s="149"/>
    </row>
    <row r="59" spans="2:10" x14ac:dyDescent="0.25">
      <c r="B59" s="148"/>
      <c r="C59" s="145" t="s">
        <v>231</v>
      </c>
      <c r="D59" s="156">
        <v>2097985.9910936831</v>
      </c>
      <c r="E59" s="157">
        <v>2682767.5167767261</v>
      </c>
      <c r="F59" s="145"/>
      <c r="G59" s="158">
        <f t="shared" si="0"/>
        <v>4780753.5078704096</v>
      </c>
      <c r="H59" s="145"/>
      <c r="I59" s="145"/>
      <c r="J59" s="149"/>
    </row>
    <row r="60" spans="2:10" x14ac:dyDescent="0.25">
      <c r="B60" s="148"/>
      <c r="C60" s="145" t="s">
        <v>232</v>
      </c>
      <c r="D60" s="156">
        <v>20416</v>
      </c>
      <c r="E60" s="157">
        <v>7656</v>
      </c>
      <c r="F60" s="145"/>
      <c r="G60" s="158">
        <f t="shared" si="0"/>
        <v>28072</v>
      </c>
      <c r="H60" s="145"/>
      <c r="I60" s="145"/>
      <c r="J60" s="149"/>
    </row>
    <row r="61" spans="2:10" x14ac:dyDescent="0.25">
      <c r="B61" s="148"/>
      <c r="C61" s="145" t="s">
        <v>233</v>
      </c>
      <c r="D61" s="156">
        <v>518002</v>
      </c>
      <c r="E61" s="157">
        <v>588374</v>
      </c>
      <c r="F61" s="145"/>
      <c r="G61" s="158">
        <f t="shared" si="0"/>
        <v>1106376</v>
      </c>
      <c r="H61" s="145"/>
      <c r="I61" s="145"/>
      <c r="J61" s="149"/>
    </row>
    <row r="62" spans="2:10" x14ac:dyDescent="0.25">
      <c r="B62" s="148"/>
      <c r="C62" s="145" t="s">
        <v>234</v>
      </c>
      <c r="D62" s="156">
        <v>463586.06999999995</v>
      </c>
      <c r="E62" s="157">
        <v>725895.26000000024</v>
      </c>
      <c r="F62" s="145"/>
      <c r="G62" s="158">
        <f t="shared" si="0"/>
        <v>1189481.33</v>
      </c>
      <c r="H62" s="145"/>
      <c r="I62" s="145"/>
      <c r="J62" s="149"/>
    </row>
    <row r="63" spans="2:10" x14ac:dyDescent="0.25">
      <c r="B63" s="148"/>
      <c r="C63" s="145" t="s">
        <v>235</v>
      </c>
      <c r="D63" s="156">
        <v>2687733.3300000005</v>
      </c>
      <c r="E63" s="157">
        <v>2500576.1299999976</v>
      </c>
      <c r="F63" s="145"/>
      <c r="G63" s="158">
        <f t="shared" si="0"/>
        <v>5188309.4599999981</v>
      </c>
      <c r="H63" s="145"/>
      <c r="I63" s="145"/>
      <c r="J63" s="149"/>
    </row>
    <row r="64" spans="2:10" x14ac:dyDescent="0.25">
      <c r="B64" s="148"/>
      <c r="C64" s="145" t="s">
        <v>236</v>
      </c>
      <c r="D64" s="156">
        <v>841493</v>
      </c>
      <c r="E64" s="157">
        <f>1727782-3816</f>
        <v>1723966</v>
      </c>
      <c r="F64" s="145"/>
      <c r="G64" s="158">
        <f t="shared" si="0"/>
        <v>2565459</v>
      </c>
      <c r="H64" s="145"/>
      <c r="I64" s="145"/>
      <c r="J64" s="149"/>
    </row>
    <row r="65" spans="2:10" x14ac:dyDescent="0.25">
      <c r="B65" s="148"/>
      <c r="C65" s="145" t="s">
        <v>237</v>
      </c>
      <c r="D65" s="156">
        <v>956365.80000000016</v>
      </c>
      <c r="E65" s="157">
        <v>1112043.0499999998</v>
      </c>
      <c r="F65" s="145"/>
      <c r="G65" s="158">
        <f t="shared" si="0"/>
        <v>2068408.85</v>
      </c>
      <c r="H65" s="145"/>
      <c r="I65" s="145"/>
      <c r="J65" s="149"/>
    </row>
    <row r="66" spans="2:10" ht="26.4" x14ac:dyDescent="0.25">
      <c r="B66" s="148"/>
      <c r="C66" s="159" t="s">
        <v>238</v>
      </c>
      <c r="D66" s="160">
        <f>SUM(D56:D65)</f>
        <v>19294667.107380155</v>
      </c>
      <c r="E66" s="161">
        <f>SUM(E56:E65)</f>
        <v>19952398.556776725</v>
      </c>
      <c r="F66" s="145"/>
      <c r="G66" s="162">
        <f t="shared" si="0"/>
        <v>39247065.664156884</v>
      </c>
      <c r="H66" s="145"/>
      <c r="I66" s="145"/>
      <c r="J66" s="149"/>
    </row>
    <row r="67" spans="2:10" x14ac:dyDescent="0.25">
      <c r="B67" s="148"/>
      <c r="C67" s="145"/>
      <c r="D67" s="145"/>
      <c r="E67" s="145"/>
      <c r="F67" s="145"/>
      <c r="G67" s="145"/>
      <c r="H67" s="145"/>
      <c r="I67" s="145"/>
      <c r="J67" s="149"/>
    </row>
    <row r="68" spans="2:10" x14ac:dyDescent="0.25">
      <c r="B68" s="148" t="s">
        <v>239</v>
      </c>
      <c r="C68" s="145"/>
      <c r="D68" s="145"/>
      <c r="E68" s="145"/>
      <c r="F68" s="145"/>
      <c r="G68" s="145"/>
      <c r="H68" s="145"/>
      <c r="I68" s="145"/>
      <c r="J68" s="149"/>
    </row>
    <row r="69" spans="2:10" x14ac:dyDescent="0.25">
      <c r="B69" s="148"/>
      <c r="C69" s="145" t="s">
        <v>240</v>
      </c>
      <c r="D69" s="156">
        <v>10795129</v>
      </c>
      <c r="E69" s="156">
        <v>10078028</v>
      </c>
      <c r="F69" s="145"/>
      <c r="G69" s="158">
        <f t="shared" ref="G69:G74" si="1">SUM(D69:E69)</f>
        <v>20873157</v>
      </c>
      <c r="H69" s="145"/>
      <c r="I69" s="145"/>
      <c r="J69" s="149"/>
    </row>
    <row r="70" spans="2:10" x14ac:dyDescent="0.25">
      <c r="B70" s="148"/>
      <c r="C70" s="145" t="s">
        <v>241</v>
      </c>
      <c r="D70" s="156">
        <v>1427100</v>
      </c>
      <c r="E70" s="156">
        <v>102664</v>
      </c>
      <c r="F70" s="145"/>
      <c r="G70" s="158">
        <f t="shared" si="1"/>
        <v>1529764</v>
      </c>
      <c r="H70" s="145"/>
      <c r="I70" s="145"/>
      <c r="J70" s="149"/>
    </row>
    <row r="71" spans="2:10" x14ac:dyDescent="0.25">
      <c r="B71" s="148"/>
      <c r="C71" s="145" t="s">
        <v>242</v>
      </c>
      <c r="D71" s="156">
        <v>4926117</v>
      </c>
      <c r="E71" s="156">
        <v>4495636</v>
      </c>
      <c r="F71" s="145"/>
      <c r="G71" s="158">
        <f t="shared" si="1"/>
        <v>9421753</v>
      </c>
      <c r="H71" s="145"/>
      <c r="I71" s="145"/>
      <c r="J71" s="149"/>
    </row>
    <row r="72" spans="2:10" x14ac:dyDescent="0.25">
      <c r="B72" s="148"/>
      <c r="C72" s="145" t="s">
        <v>243</v>
      </c>
      <c r="D72" s="156">
        <v>700904</v>
      </c>
      <c r="E72" s="156">
        <v>58500</v>
      </c>
      <c r="F72" s="145"/>
      <c r="G72" s="158">
        <f t="shared" si="1"/>
        <v>759404</v>
      </c>
      <c r="H72" s="145"/>
      <c r="I72" s="145"/>
      <c r="J72" s="149"/>
    </row>
    <row r="73" spans="2:10" x14ac:dyDescent="0.25">
      <c r="B73" s="148"/>
      <c r="C73" s="145" t="s">
        <v>244</v>
      </c>
      <c r="D73" s="156">
        <v>2830069</v>
      </c>
      <c r="E73" s="156">
        <v>1659205</v>
      </c>
      <c r="F73" s="145"/>
      <c r="G73" s="158">
        <f t="shared" si="1"/>
        <v>4489274</v>
      </c>
      <c r="H73" s="145"/>
      <c r="I73" s="145"/>
      <c r="J73" s="149"/>
    </row>
    <row r="74" spans="2:10" x14ac:dyDescent="0.25">
      <c r="B74" s="148"/>
      <c r="C74" s="145" t="s">
        <v>245</v>
      </c>
      <c r="D74" s="156">
        <v>2439197.8199999998</v>
      </c>
      <c r="E74" s="156">
        <v>1936486.7100000016</v>
      </c>
      <c r="F74" s="145"/>
      <c r="G74" s="158">
        <f t="shared" si="1"/>
        <v>4375684.5300000012</v>
      </c>
      <c r="H74" s="145"/>
      <c r="I74" s="145"/>
      <c r="J74" s="149"/>
    </row>
    <row r="75" spans="2:10" ht="26.4" x14ac:dyDescent="0.25">
      <c r="B75" s="148"/>
      <c r="C75" s="159" t="s">
        <v>246</v>
      </c>
      <c r="D75" s="162">
        <f>SUM(D69:D74)</f>
        <v>23118516.82</v>
      </c>
      <c r="E75" s="160">
        <f>SUM(E69:E74)</f>
        <v>18330519.710000001</v>
      </c>
      <c r="F75" s="145"/>
      <c r="G75" s="162">
        <f>SUM(G69:G74)</f>
        <v>41449036.530000001</v>
      </c>
      <c r="H75" s="145"/>
      <c r="I75" s="145"/>
      <c r="J75" s="149"/>
    </row>
    <row r="76" spans="2:10" x14ac:dyDescent="0.25">
      <c r="B76" s="148"/>
      <c r="C76" s="145"/>
      <c r="D76" s="145"/>
      <c r="E76" s="145"/>
      <c r="F76" s="145"/>
      <c r="G76" s="145"/>
      <c r="H76" s="145"/>
      <c r="I76" s="145"/>
      <c r="J76" s="149"/>
    </row>
    <row r="77" spans="2:10" x14ac:dyDescent="0.25">
      <c r="B77" s="148" t="s">
        <v>247</v>
      </c>
      <c r="C77" s="145"/>
      <c r="D77" s="145"/>
      <c r="E77" s="145"/>
      <c r="F77" s="145"/>
      <c r="G77" s="145"/>
      <c r="H77" s="145"/>
      <c r="I77" s="145"/>
      <c r="J77" s="149"/>
    </row>
    <row r="78" spans="2:10" x14ac:dyDescent="0.25">
      <c r="B78" s="148"/>
      <c r="C78" s="145" t="s">
        <v>240</v>
      </c>
      <c r="D78" s="156">
        <v>2012055</v>
      </c>
      <c r="E78" s="156">
        <f>1940821+11843</f>
        <v>1952664</v>
      </c>
      <c r="F78" s="145"/>
      <c r="G78" s="158">
        <f>SUM(D78:E78)</f>
        <v>3964719</v>
      </c>
      <c r="H78" s="145"/>
      <c r="I78" s="145"/>
      <c r="J78" s="149"/>
    </row>
    <row r="79" spans="2:10" x14ac:dyDescent="0.25">
      <c r="B79" s="148"/>
      <c r="C79" s="145" t="s">
        <v>241</v>
      </c>
      <c r="D79" s="156">
        <v>0</v>
      </c>
      <c r="E79" s="156">
        <v>109694</v>
      </c>
      <c r="F79" s="145"/>
      <c r="G79" s="158">
        <f>SUM(D79:E79)</f>
        <v>109694</v>
      </c>
      <c r="H79" s="145"/>
      <c r="I79" s="145"/>
      <c r="J79" s="149"/>
    </row>
    <row r="80" spans="2:10" x14ac:dyDescent="0.25">
      <c r="B80" s="148"/>
      <c r="C80" s="145" t="s">
        <v>242</v>
      </c>
      <c r="D80" s="156">
        <v>0</v>
      </c>
      <c r="E80" s="156">
        <v>4422696</v>
      </c>
      <c r="F80" s="145"/>
      <c r="G80" s="158">
        <f>SUM(D80:E80)</f>
        <v>4422696</v>
      </c>
      <c r="H80" s="145"/>
      <c r="I80" s="145"/>
      <c r="J80" s="149"/>
    </row>
    <row r="81" spans="2:10" x14ac:dyDescent="0.25">
      <c r="B81" s="148"/>
      <c r="C81" s="145" t="s">
        <v>243</v>
      </c>
      <c r="D81" s="156">
        <v>0</v>
      </c>
      <c r="E81" s="156">
        <v>3724</v>
      </c>
      <c r="F81" s="145"/>
      <c r="G81" s="158">
        <f>SUM(D81:E81)</f>
        <v>3724</v>
      </c>
      <c r="H81" s="145"/>
      <c r="I81" s="145"/>
      <c r="J81" s="149"/>
    </row>
    <row r="82" spans="2:10" x14ac:dyDescent="0.25">
      <c r="B82" s="148"/>
      <c r="C82" s="145" t="s">
        <v>248</v>
      </c>
      <c r="D82" s="156">
        <v>976954.17999999993</v>
      </c>
      <c r="E82" s="156">
        <v>1370152.32</v>
      </c>
      <c r="F82" s="145"/>
      <c r="G82" s="158">
        <f>SUM(D82:E82)</f>
        <v>2347106.5</v>
      </c>
      <c r="H82" s="145"/>
      <c r="I82" s="145"/>
      <c r="J82" s="149"/>
    </row>
    <row r="83" spans="2:10" ht="26.4" x14ac:dyDescent="0.25">
      <c r="B83" s="148"/>
      <c r="C83" s="159" t="s">
        <v>249</v>
      </c>
      <c r="D83" s="162">
        <f>SUM(D78:D82)</f>
        <v>2989009.1799999997</v>
      </c>
      <c r="E83" s="162">
        <f>SUM(E78:E82)</f>
        <v>7858930.3200000003</v>
      </c>
      <c r="F83" s="145"/>
      <c r="G83" s="162">
        <f>SUM(G78:G82)</f>
        <v>10847939.5</v>
      </c>
      <c r="H83" s="145"/>
      <c r="I83" s="145"/>
      <c r="J83" s="149"/>
    </row>
    <row r="84" spans="2:10" x14ac:dyDescent="0.25">
      <c r="B84" s="148"/>
      <c r="C84" s="145"/>
      <c r="D84" s="145"/>
      <c r="E84" s="145"/>
      <c r="F84" s="145"/>
      <c r="G84" s="145"/>
      <c r="H84" s="145"/>
      <c r="I84" s="145"/>
      <c r="J84" s="149"/>
    </row>
    <row r="85" spans="2:10" x14ac:dyDescent="0.25">
      <c r="B85" s="148" t="s">
        <v>250</v>
      </c>
      <c r="C85" s="145"/>
      <c r="D85" s="145"/>
      <c r="E85" s="145"/>
      <c r="F85" s="145"/>
      <c r="G85" s="145"/>
      <c r="H85" s="145"/>
      <c r="I85" s="145"/>
      <c r="J85" s="149"/>
    </row>
    <row r="86" spans="2:10" x14ac:dyDescent="0.25">
      <c r="B86" s="148"/>
      <c r="C86" s="145" t="s">
        <v>251</v>
      </c>
      <c r="D86" s="156">
        <v>0</v>
      </c>
      <c r="E86" s="156">
        <v>2556021.8199999998</v>
      </c>
      <c r="F86" s="145"/>
      <c r="G86" s="158">
        <f>SUM(D86:E86)</f>
        <v>2556021.8199999998</v>
      </c>
      <c r="H86" s="145"/>
      <c r="I86" s="145"/>
      <c r="J86" s="149"/>
    </row>
    <row r="87" spans="2:10" ht="26.4" x14ac:dyDescent="0.25">
      <c r="B87" s="148"/>
      <c r="C87" s="159" t="s">
        <v>252</v>
      </c>
      <c r="D87" s="162">
        <f>SUM(D86)</f>
        <v>0</v>
      </c>
      <c r="E87" s="162">
        <f>SUM(E86)</f>
        <v>2556021.8199999998</v>
      </c>
      <c r="F87" s="145"/>
      <c r="G87" s="162">
        <f>SUM(G86)</f>
        <v>2556021.8199999998</v>
      </c>
      <c r="H87" s="145"/>
      <c r="I87" s="145"/>
      <c r="J87" s="149"/>
    </row>
    <row r="88" spans="2:10" x14ac:dyDescent="0.25">
      <c r="B88" s="148"/>
      <c r="C88" s="145"/>
      <c r="D88" s="145"/>
      <c r="E88" s="145"/>
      <c r="F88" s="145"/>
      <c r="G88" s="145"/>
      <c r="H88" s="145"/>
      <c r="I88" s="145"/>
      <c r="J88" s="149"/>
    </row>
    <row r="89" spans="2:10" x14ac:dyDescent="0.25">
      <c r="B89" s="151" t="s">
        <v>253</v>
      </c>
      <c r="C89" s="152"/>
      <c r="D89" s="162">
        <f>D87+D83+D75+D66</f>
        <v>45402193.107380152</v>
      </c>
      <c r="E89" s="162">
        <f t="shared" ref="E89" si="2">E87+E83+E75+E66</f>
        <v>48697870.406776726</v>
      </c>
      <c r="F89" s="145"/>
      <c r="G89" s="162">
        <f>G87+G83+G75+G66</f>
        <v>94100063.514156878</v>
      </c>
      <c r="H89" s="145"/>
      <c r="I89" s="145"/>
      <c r="J89" s="149"/>
    </row>
    <row r="90" spans="2:10" x14ac:dyDescent="0.25">
      <c r="B90" s="148"/>
      <c r="C90" s="145"/>
      <c r="D90" s="145"/>
      <c r="E90" s="145"/>
      <c r="F90" s="145"/>
      <c r="G90" s="145"/>
      <c r="H90" s="145"/>
      <c r="I90" s="145"/>
      <c r="J90" s="149"/>
    </row>
    <row r="91" spans="2:10" x14ac:dyDescent="0.25">
      <c r="B91" s="148"/>
      <c r="C91" s="145"/>
      <c r="D91" s="145"/>
      <c r="E91" s="145"/>
      <c r="F91" s="145"/>
      <c r="G91" s="145"/>
      <c r="H91" s="145"/>
      <c r="I91" s="145"/>
      <c r="J91" s="149"/>
    </row>
    <row r="92" spans="2:10" x14ac:dyDescent="0.25">
      <c r="B92" s="148"/>
      <c r="C92" s="145"/>
      <c r="D92" s="145"/>
      <c r="E92" s="145"/>
      <c r="F92" s="145"/>
      <c r="G92" s="145"/>
      <c r="H92" s="145"/>
      <c r="I92" s="145"/>
      <c r="J92" s="149"/>
    </row>
    <row r="93" spans="2:10" x14ac:dyDescent="0.25">
      <c r="B93" s="163" t="s">
        <v>254</v>
      </c>
      <c r="C93" s="164"/>
      <c r="D93" s="164"/>
      <c r="E93" s="164"/>
      <c r="F93" s="176"/>
      <c r="G93" s="164"/>
      <c r="H93" s="176"/>
      <c r="I93" s="176"/>
      <c r="J93" s="179"/>
    </row>
    <row r="94" spans="2:10" x14ac:dyDescent="0.25">
      <c r="B94" s="148"/>
      <c r="C94" s="145"/>
      <c r="D94" s="153">
        <v>2012</v>
      </c>
      <c r="E94" s="153">
        <v>2013</v>
      </c>
      <c r="F94" s="145"/>
      <c r="G94" s="154" t="s">
        <v>6</v>
      </c>
      <c r="H94" s="145"/>
      <c r="I94" s="145"/>
      <c r="J94" s="149"/>
    </row>
    <row r="95" spans="2:10" x14ac:dyDescent="0.25">
      <c r="B95" s="148" t="s">
        <v>255</v>
      </c>
      <c r="C95" s="145"/>
      <c r="D95" s="145"/>
      <c r="E95" s="145"/>
      <c r="F95" s="145"/>
      <c r="G95" s="145"/>
      <c r="H95" s="145"/>
      <c r="I95" s="145"/>
      <c r="J95" s="149"/>
    </row>
    <row r="96" spans="2:10" ht="15.6" x14ac:dyDescent="0.35">
      <c r="B96" s="148"/>
      <c r="C96" s="145" t="s">
        <v>256</v>
      </c>
      <c r="D96" s="156">
        <v>527931</v>
      </c>
      <c r="E96" s="156">
        <v>485099</v>
      </c>
      <c r="F96" s="145"/>
      <c r="G96" s="158">
        <f t="shared" ref="G96:G105" si="3">SUM(D96:E96)</f>
        <v>1013030</v>
      </c>
      <c r="H96" s="145"/>
      <c r="I96" s="145"/>
      <c r="J96" s="149"/>
    </row>
    <row r="97" spans="2:10" ht="15.6" x14ac:dyDescent="0.35">
      <c r="B97" s="148"/>
      <c r="C97" s="145" t="s">
        <v>257</v>
      </c>
      <c r="D97" s="156">
        <v>4163228.0837135315</v>
      </c>
      <c r="E97" s="156">
        <v>4504928.3999999985</v>
      </c>
      <c r="F97" s="145"/>
      <c r="G97" s="158">
        <f t="shared" si="3"/>
        <v>8668156.48371353</v>
      </c>
      <c r="H97" s="145"/>
      <c r="I97" s="145"/>
      <c r="J97" s="149"/>
    </row>
    <row r="98" spans="2:10" ht="15.6" x14ac:dyDescent="0.35">
      <c r="B98" s="148"/>
      <c r="C98" s="145" t="s">
        <v>258</v>
      </c>
      <c r="D98" s="156">
        <v>-163280.8230367642</v>
      </c>
      <c r="E98" s="156">
        <v>-355.39514525137292</v>
      </c>
      <c r="F98" s="145"/>
      <c r="G98" s="158">
        <f t="shared" si="3"/>
        <v>-163636.21818201558</v>
      </c>
      <c r="H98" s="145"/>
      <c r="I98" s="145"/>
      <c r="J98" s="149"/>
    </row>
    <row r="99" spans="2:10" ht="15.6" x14ac:dyDescent="0.35">
      <c r="B99" s="148"/>
      <c r="C99" s="145" t="s">
        <v>259</v>
      </c>
      <c r="D99" s="156">
        <v>-1041897.9910936831</v>
      </c>
      <c r="E99" s="156">
        <v>-1315886.5167767261</v>
      </c>
      <c r="F99" s="145"/>
      <c r="G99" s="158">
        <f t="shared" si="3"/>
        <v>-2357784.5078704092</v>
      </c>
      <c r="H99" s="145"/>
      <c r="I99" s="145"/>
      <c r="J99" s="149"/>
    </row>
    <row r="100" spans="2:10" ht="15.6" x14ac:dyDescent="0.35">
      <c r="B100" s="148"/>
      <c r="C100" s="145" t="s">
        <v>260</v>
      </c>
      <c r="D100" s="156">
        <v>4055.7795958547395</v>
      </c>
      <c r="E100" s="156">
        <v>1520.9173484454677</v>
      </c>
      <c r="F100" s="145"/>
      <c r="G100" s="158">
        <f t="shared" si="3"/>
        <v>5576.6969443002072</v>
      </c>
      <c r="H100" s="145"/>
      <c r="I100" s="145"/>
      <c r="J100" s="149"/>
    </row>
    <row r="101" spans="2:10" ht="15.6" x14ac:dyDescent="0.35">
      <c r="B101" s="148"/>
      <c r="C101" s="145" t="s">
        <v>261</v>
      </c>
      <c r="D101" s="156">
        <v>155566</v>
      </c>
      <c r="E101" s="156">
        <v>10154</v>
      </c>
      <c r="F101" s="145"/>
      <c r="G101" s="158">
        <f t="shared" si="3"/>
        <v>165720</v>
      </c>
      <c r="H101" s="145"/>
      <c r="I101" s="145"/>
      <c r="J101" s="149"/>
    </row>
    <row r="102" spans="2:10" ht="15.6" x14ac:dyDescent="0.35">
      <c r="B102" s="148"/>
      <c r="C102" s="145" t="s">
        <v>262</v>
      </c>
      <c r="D102" s="156">
        <v>72438.819138318184</v>
      </c>
      <c r="E102" s="156">
        <v>127085.64761108567</v>
      </c>
      <c r="F102" s="145"/>
      <c r="G102" s="158">
        <f t="shared" si="3"/>
        <v>199524.46674940386</v>
      </c>
      <c r="H102" s="145"/>
      <c r="I102" s="145"/>
      <c r="J102" s="149"/>
    </row>
    <row r="103" spans="2:10" ht="15.6" x14ac:dyDescent="0.35">
      <c r="B103" s="148"/>
      <c r="C103" s="145" t="s">
        <v>263</v>
      </c>
      <c r="D103" s="156">
        <v>46325.87619884545</v>
      </c>
      <c r="E103" s="156">
        <v>131501.88176283147</v>
      </c>
      <c r="F103" s="145"/>
      <c r="G103" s="158">
        <f t="shared" si="3"/>
        <v>177827.75796167692</v>
      </c>
      <c r="H103" s="145"/>
      <c r="I103" s="145"/>
      <c r="J103" s="149"/>
    </row>
    <row r="104" spans="2:10" ht="15.6" x14ac:dyDescent="0.35">
      <c r="B104" s="148"/>
      <c r="C104" s="145" t="s">
        <v>264</v>
      </c>
      <c r="D104" s="156">
        <v>36085.159424434649</v>
      </c>
      <c r="E104" s="156">
        <v>147102.19819895178</v>
      </c>
      <c r="F104" s="145"/>
      <c r="G104" s="158">
        <f t="shared" si="3"/>
        <v>183187.35762338643</v>
      </c>
      <c r="H104" s="145"/>
      <c r="I104" s="145"/>
      <c r="J104" s="149"/>
    </row>
    <row r="105" spans="2:10" ht="15.6" x14ac:dyDescent="0.35">
      <c r="B105" s="148"/>
      <c r="C105" s="145" t="s">
        <v>265</v>
      </c>
      <c r="D105" s="156">
        <v>150020.40087757783</v>
      </c>
      <c r="E105" s="156">
        <v>150821.22432752373</v>
      </c>
      <c r="F105" s="145"/>
      <c r="G105" s="158">
        <f t="shared" si="3"/>
        <v>300841.62520510156</v>
      </c>
      <c r="H105" s="145"/>
      <c r="I105" s="145"/>
      <c r="J105" s="149"/>
    </row>
    <row r="106" spans="2:10" ht="26.4" x14ac:dyDescent="0.25">
      <c r="B106" s="148"/>
      <c r="C106" s="159" t="s">
        <v>266</v>
      </c>
      <c r="D106" s="162">
        <f>SUM(D96:D105)</f>
        <v>3950472.3048181157</v>
      </c>
      <c r="E106" s="162">
        <f t="shared" ref="E106" si="4">SUM(E96:E105)</f>
        <v>4241971.3573268596</v>
      </c>
      <c r="F106" s="145"/>
      <c r="G106" s="162">
        <f>SUM(G96:G105)</f>
        <v>8192443.6621449729</v>
      </c>
      <c r="H106" s="145"/>
      <c r="I106" s="145"/>
      <c r="J106" s="149"/>
    </row>
    <row r="107" spans="2:10" x14ac:dyDescent="0.25">
      <c r="B107" s="148"/>
      <c r="C107" s="145"/>
      <c r="D107" s="145"/>
      <c r="E107" s="145"/>
      <c r="F107" s="145"/>
      <c r="G107" s="145"/>
      <c r="H107" s="145"/>
      <c r="I107" s="145"/>
      <c r="J107" s="149"/>
    </row>
    <row r="108" spans="2:10" x14ac:dyDescent="0.25">
      <c r="B108" s="151" t="s">
        <v>303</v>
      </c>
      <c r="C108" s="145"/>
      <c r="D108" s="162">
        <f>D106</f>
        <v>3950472.3048181157</v>
      </c>
      <c r="E108" s="162">
        <f>E106</f>
        <v>4241971.3573268596</v>
      </c>
      <c r="F108" s="152"/>
      <c r="G108" s="162">
        <f>G106</f>
        <v>8192443.6621449729</v>
      </c>
      <c r="H108" s="145"/>
      <c r="I108" s="145"/>
      <c r="J108" s="149"/>
    </row>
    <row r="109" spans="2:10" x14ac:dyDescent="0.25">
      <c r="B109" s="151"/>
      <c r="C109" s="145"/>
      <c r="D109" s="162"/>
      <c r="E109" s="162"/>
      <c r="F109" s="152"/>
      <c r="G109" s="162"/>
      <c r="H109" s="145"/>
      <c r="I109" s="145"/>
      <c r="J109" s="149"/>
    </row>
    <row r="110" spans="2:10" x14ac:dyDescent="0.25">
      <c r="B110" s="148"/>
      <c r="C110" s="145"/>
      <c r="D110" s="145"/>
      <c r="E110" s="145"/>
      <c r="F110" s="145"/>
      <c r="G110" s="145"/>
      <c r="H110" s="145"/>
      <c r="I110" s="145"/>
      <c r="J110" s="149"/>
    </row>
    <row r="111" spans="2:10" x14ac:dyDescent="0.25">
      <c r="B111" s="163" t="s">
        <v>304</v>
      </c>
      <c r="C111" s="164"/>
      <c r="D111" s="164"/>
      <c r="E111" s="164"/>
      <c r="F111" s="164"/>
      <c r="G111" s="164"/>
      <c r="H111" s="176"/>
      <c r="I111" s="176"/>
      <c r="J111" s="179"/>
    </row>
    <row r="112" spans="2:10" x14ac:dyDescent="0.25">
      <c r="B112" s="148"/>
      <c r="C112" s="145"/>
      <c r="D112" s="153">
        <v>2012</v>
      </c>
      <c r="E112" s="153">
        <v>2013</v>
      </c>
      <c r="F112" s="145"/>
      <c r="G112" s="154" t="s">
        <v>6</v>
      </c>
      <c r="H112" s="145"/>
      <c r="I112" s="145"/>
      <c r="J112" s="149"/>
    </row>
    <row r="113" spans="2:12" x14ac:dyDescent="0.25">
      <c r="B113" s="148" t="s">
        <v>299</v>
      </c>
      <c r="C113" s="145"/>
      <c r="D113" s="145"/>
      <c r="E113" s="145"/>
      <c r="F113" s="145"/>
      <c r="G113" s="145"/>
      <c r="H113" s="145"/>
      <c r="I113" s="145"/>
      <c r="J113" s="149"/>
    </row>
    <row r="114" spans="2:12" x14ac:dyDescent="0.25">
      <c r="B114" s="148"/>
      <c r="C114" s="145" t="s">
        <v>300</v>
      </c>
      <c r="D114" s="156">
        <f>0.555587553271193*8760000</f>
        <v>4866946.9666556511</v>
      </c>
      <c r="E114" s="156">
        <f>0.600259160392303*8760000</f>
        <v>5258270.2450365741</v>
      </c>
      <c r="F114" s="145"/>
      <c r="G114" s="158">
        <f>D114+E114</f>
        <v>10125217.211692225</v>
      </c>
      <c r="H114" s="145"/>
      <c r="I114" s="145"/>
      <c r="J114" s="149"/>
    </row>
    <row r="115" spans="2:12" x14ac:dyDescent="0.25">
      <c r="B115" s="148"/>
      <c r="C115" s="145" t="s">
        <v>301</v>
      </c>
      <c r="D115" s="156">
        <v>11492961</v>
      </c>
      <c r="E115" s="156">
        <v>10613719</v>
      </c>
      <c r="F115" s="145"/>
      <c r="G115" s="158">
        <f>D115+E115</f>
        <v>22106680</v>
      </c>
      <c r="H115" s="145"/>
      <c r="I115" s="145"/>
      <c r="J115" s="149"/>
    </row>
    <row r="116" spans="2:12" x14ac:dyDescent="0.25">
      <c r="B116" s="152" t="s">
        <v>302</v>
      </c>
      <c r="C116" s="152"/>
      <c r="D116" s="162">
        <f>SUM(D114:D115)</f>
        <v>16359907.966655651</v>
      </c>
      <c r="E116" s="162">
        <f>SUM(E114:E115)</f>
        <v>15871989.245036574</v>
      </c>
      <c r="F116" s="152"/>
      <c r="G116" s="162">
        <f>SUM(G114:G115)</f>
        <v>32231897.211692225</v>
      </c>
      <c r="H116" s="145"/>
      <c r="I116" s="145"/>
      <c r="J116" s="149"/>
    </row>
    <row r="117" spans="2:12" x14ac:dyDescent="0.25">
      <c r="B117" s="148"/>
      <c r="C117" s="145"/>
      <c r="D117" s="145"/>
      <c r="E117" s="145"/>
      <c r="F117" s="145"/>
      <c r="G117" s="145"/>
      <c r="H117" s="145"/>
      <c r="I117" s="145"/>
      <c r="J117" s="149"/>
    </row>
    <row r="118" spans="2:12" x14ac:dyDescent="0.25">
      <c r="B118" s="148"/>
      <c r="C118" s="145"/>
      <c r="D118" s="145"/>
      <c r="E118" s="145"/>
      <c r="F118" s="145"/>
      <c r="G118" s="145"/>
      <c r="H118" s="145"/>
      <c r="I118" s="145"/>
      <c r="J118" s="149"/>
    </row>
    <row r="119" spans="2:12" s="72" customFormat="1" ht="13.8" x14ac:dyDescent="0.25">
      <c r="B119" s="163" t="s">
        <v>320</v>
      </c>
      <c r="C119" s="180"/>
      <c r="D119" s="180"/>
      <c r="E119" s="180"/>
      <c r="F119" s="180"/>
      <c r="G119" s="180"/>
      <c r="H119" s="180"/>
      <c r="I119" s="180"/>
      <c r="J119" s="181"/>
    </row>
    <row r="120" spans="2:12" x14ac:dyDescent="0.25">
      <c r="B120" s="148"/>
      <c r="C120" s="145"/>
      <c r="D120" s="153">
        <v>2012</v>
      </c>
      <c r="E120" s="153">
        <v>2013</v>
      </c>
      <c r="F120" s="145"/>
      <c r="G120" s="154" t="s">
        <v>6</v>
      </c>
      <c r="H120" s="145"/>
      <c r="I120" s="145"/>
      <c r="J120" s="149"/>
    </row>
    <row r="121" spans="2:12" x14ac:dyDescent="0.25">
      <c r="B121" s="151" t="s">
        <v>310</v>
      </c>
      <c r="C121" s="164"/>
      <c r="D121" s="176"/>
      <c r="E121" s="176"/>
      <c r="F121" s="176"/>
      <c r="G121" s="176"/>
      <c r="H121" s="145"/>
      <c r="I121" s="145"/>
      <c r="J121" s="149"/>
    </row>
    <row r="122" spans="2:12" x14ac:dyDescent="0.25">
      <c r="B122" s="151"/>
      <c r="C122" s="153" t="s">
        <v>305</v>
      </c>
      <c r="D122" s="158">
        <f>D66+D106</f>
        <v>23245139.412198272</v>
      </c>
      <c r="E122" s="158">
        <f>E66+E106</f>
        <v>24194369.914103583</v>
      </c>
      <c r="F122" s="145"/>
      <c r="G122" s="158">
        <f>D122+E122</f>
        <v>47439509.326301858</v>
      </c>
      <c r="H122" s="145"/>
      <c r="I122" s="145"/>
      <c r="J122" s="149"/>
    </row>
    <row r="123" spans="2:12" x14ac:dyDescent="0.25">
      <c r="B123" s="151"/>
      <c r="C123" s="153" t="s">
        <v>306</v>
      </c>
      <c r="D123" s="158">
        <f>D75</f>
        <v>23118516.82</v>
      </c>
      <c r="E123" s="158">
        <f>E75</f>
        <v>18330519.710000001</v>
      </c>
      <c r="F123" s="145"/>
      <c r="G123" s="158">
        <f t="shared" ref="G123:G126" si="5">D123+E123</f>
        <v>41449036.530000001</v>
      </c>
      <c r="H123" s="145"/>
      <c r="I123" s="145"/>
      <c r="J123" s="149"/>
    </row>
    <row r="124" spans="2:12" x14ac:dyDescent="0.25">
      <c r="B124" s="151"/>
      <c r="C124" s="153" t="s">
        <v>307</v>
      </c>
      <c r="D124" s="158">
        <f>D83</f>
        <v>2989009.1799999997</v>
      </c>
      <c r="E124" s="158">
        <f>E83</f>
        <v>7858930.3200000003</v>
      </c>
      <c r="F124" s="145"/>
      <c r="G124" s="158">
        <f t="shared" si="5"/>
        <v>10847939.5</v>
      </c>
      <c r="H124" s="145"/>
      <c r="I124" s="145"/>
      <c r="J124" s="149"/>
    </row>
    <row r="125" spans="2:12" x14ac:dyDescent="0.25">
      <c r="B125" s="151"/>
      <c r="C125" s="153" t="s">
        <v>311</v>
      </c>
      <c r="D125" s="158">
        <f>D87</f>
        <v>0</v>
      </c>
      <c r="E125" s="158">
        <f>E87</f>
        <v>2556021.8199999998</v>
      </c>
      <c r="F125" s="145"/>
      <c r="G125" s="158">
        <f t="shared" si="5"/>
        <v>2556021.8199999998</v>
      </c>
      <c r="H125" s="145"/>
      <c r="I125" s="145"/>
      <c r="J125" s="149"/>
    </row>
    <row r="126" spans="2:12" x14ac:dyDescent="0.25">
      <c r="B126" s="151"/>
      <c r="C126" s="153" t="s">
        <v>308</v>
      </c>
      <c r="D126" s="156">
        <f>D116</f>
        <v>16359907.966655651</v>
      </c>
      <c r="E126" s="156">
        <f>E116</f>
        <v>15871989.245036574</v>
      </c>
      <c r="F126" s="156"/>
      <c r="G126" s="158">
        <f t="shared" si="5"/>
        <v>32231897.211692225</v>
      </c>
      <c r="H126" s="145"/>
      <c r="I126" s="145"/>
      <c r="J126" s="149"/>
    </row>
    <row r="127" spans="2:12" s="11" customFormat="1" x14ac:dyDescent="0.25">
      <c r="B127" s="152" t="s">
        <v>309</v>
      </c>
      <c r="C127" s="152"/>
      <c r="D127" s="162">
        <f>SUM(D122:D126)</f>
        <v>65712573.378853917</v>
      </c>
      <c r="E127" s="162">
        <f>SUM(E122:E126)</f>
        <v>68811831.009140164</v>
      </c>
      <c r="F127" s="152"/>
      <c r="G127" s="162">
        <f>SUM(G122:G126)</f>
        <v>134524404.38799408</v>
      </c>
      <c r="H127" s="152"/>
      <c r="I127" s="152"/>
      <c r="J127" s="177"/>
      <c r="L127" s="178"/>
    </row>
    <row r="128" spans="2:12" x14ac:dyDescent="0.25">
      <c r="B128" s="148"/>
      <c r="C128" s="145"/>
      <c r="D128" s="145"/>
      <c r="E128" s="145"/>
      <c r="F128" s="145"/>
      <c r="G128" s="145"/>
      <c r="H128" s="145"/>
      <c r="I128" s="145"/>
      <c r="J128" s="149"/>
    </row>
    <row r="129" spans="2:10" ht="42" customHeight="1" x14ac:dyDescent="0.3">
      <c r="B129" s="182" t="s">
        <v>312</v>
      </c>
      <c r="C129" s="183"/>
      <c r="D129" s="183"/>
      <c r="E129" s="183"/>
      <c r="F129" s="183"/>
      <c r="G129" s="183"/>
      <c r="H129" s="183"/>
      <c r="I129" s="183"/>
      <c r="J129" s="183"/>
    </row>
    <row r="130" spans="2:10" ht="30" customHeight="1" x14ac:dyDescent="0.3">
      <c r="B130" s="182" t="s">
        <v>313</v>
      </c>
      <c r="C130" s="183"/>
      <c r="D130" s="183"/>
      <c r="E130" s="183"/>
      <c r="F130" s="183"/>
      <c r="G130" s="183"/>
      <c r="H130" s="183"/>
      <c r="I130" s="183"/>
      <c r="J130" s="183"/>
    </row>
    <row r="131" spans="2:10" ht="30" customHeight="1" x14ac:dyDescent="0.3">
      <c r="B131" s="182" t="s">
        <v>314</v>
      </c>
      <c r="C131" s="186"/>
      <c r="D131" s="186"/>
      <c r="E131" s="186"/>
      <c r="F131" s="186"/>
      <c r="G131" s="183"/>
      <c r="H131" s="183"/>
      <c r="I131" s="187"/>
      <c r="J131" s="183"/>
    </row>
    <row r="132" spans="2:10" ht="14.4" x14ac:dyDescent="0.3">
      <c r="B132" s="182" t="s">
        <v>315</v>
      </c>
      <c r="C132" s="183"/>
      <c r="D132" s="183"/>
      <c r="E132" s="183"/>
      <c r="F132" s="183"/>
      <c r="G132" s="183"/>
      <c r="H132" s="183"/>
      <c r="I132" s="183"/>
      <c r="J132" s="183"/>
    </row>
    <row r="133" spans="2:10" ht="45" customHeight="1" x14ac:dyDescent="0.3">
      <c r="B133" s="182" t="s">
        <v>316</v>
      </c>
      <c r="C133" s="183"/>
      <c r="D133" s="183"/>
      <c r="E133" s="183"/>
      <c r="F133" s="183"/>
      <c r="G133" s="183"/>
      <c r="H133" s="183"/>
      <c r="I133" s="183"/>
      <c r="J133" s="183"/>
    </row>
    <row r="134" spans="2:10" ht="14.4" x14ac:dyDescent="0.3">
      <c r="B134" s="182" t="s">
        <v>317</v>
      </c>
      <c r="C134" s="183"/>
      <c r="D134" s="183"/>
      <c r="E134" s="183"/>
      <c r="F134" s="183"/>
      <c r="G134" s="183"/>
      <c r="H134" s="183"/>
      <c r="I134" s="183"/>
      <c r="J134" s="183"/>
    </row>
    <row r="135" spans="2:10" ht="14.4" x14ac:dyDescent="0.3">
      <c r="B135" s="182" t="s">
        <v>318</v>
      </c>
      <c r="C135" s="183"/>
      <c r="D135" s="183"/>
      <c r="E135" s="183"/>
      <c r="F135" s="183"/>
      <c r="G135" s="183"/>
      <c r="H135" s="183"/>
      <c r="I135" s="183"/>
      <c r="J135" s="183"/>
    </row>
    <row r="136" spans="2:10" ht="30" customHeight="1" x14ac:dyDescent="0.3">
      <c r="B136" s="182" t="s">
        <v>319</v>
      </c>
      <c r="C136" s="183"/>
      <c r="D136" s="183"/>
      <c r="E136" s="183"/>
      <c r="F136" s="183"/>
      <c r="G136" s="183"/>
      <c r="H136" s="183"/>
      <c r="I136" s="183"/>
      <c r="J136" s="183"/>
    </row>
  </sheetData>
  <mergeCells count="24">
    <mergeCell ref="B135:J135"/>
    <mergeCell ref="B136:J136"/>
    <mergeCell ref="G14:H14"/>
    <mergeCell ref="G3:J3"/>
    <mergeCell ref="G15:H15"/>
    <mergeCell ref="B14:F14"/>
    <mergeCell ref="B26:C26"/>
    <mergeCell ref="D15:E15"/>
    <mergeCell ref="C3:E3"/>
    <mergeCell ref="C4:E4"/>
    <mergeCell ref="C5:E5"/>
    <mergeCell ref="C6:E6"/>
    <mergeCell ref="C7:E7"/>
    <mergeCell ref="C31:F31"/>
    <mergeCell ref="B33:F33"/>
    <mergeCell ref="B9:F9"/>
    <mergeCell ref="B132:J132"/>
    <mergeCell ref="B133:J133"/>
    <mergeCell ref="B134:J134"/>
    <mergeCell ref="B10:C10"/>
    <mergeCell ref="D10:E10"/>
    <mergeCell ref="B129:J129"/>
    <mergeCell ref="B130:J130"/>
    <mergeCell ref="B131:J131"/>
  </mergeCells>
  <hyperlinks>
    <hyperlink ref="C7" r:id="rId1"/>
  </hyperlinks>
  <pageMargins left="0.7" right="0.7" top="0.75" bottom="0.75" header="0.3" footer="0.3"/>
  <pageSetup scale="87" fitToHeight="6" orientation="landscape" r:id="rId2"/>
  <rowBreaks count="4" manualBreakCount="4">
    <brk id="29" max="9" man="1"/>
    <brk id="67" max="9" man="1"/>
    <brk id="91" max="9" man="1"/>
    <brk id="128" max="9" man="1"/>
  </rowBreaks>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H136"/>
  <sheetViews>
    <sheetView showGridLines="0" tabSelected="1" zoomScaleNormal="100" zoomScaleSheetLayoutView="100" workbookViewId="0">
      <selection activeCell="G4" sqref="G4"/>
    </sheetView>
  </sheetViews>
  <sheetFormatPr defaultColWidth="9.21875" defaultRowHeight="13.2" x14ac:dyDescent="0.25"/>
  <cols>
    <col min="1" max="1" width="2.77734375" style="1" customWidth="1"/>
    <col min="2" max="2" width="30.21875" style="1" customWidth="1"/>
    <col min="3" max="4" width="10.21875" style="1" customWidth="1"/>
    <col min="5" max="13" width="10.77734375" style="1" customWidth="1"/>
    <col min="14" max="14" width="11.77734375" style="1" customWidth="1"/>
    <col min="15" max="15" width="10.77734375" style="1" customWidth="1"/>
    <col min="16" max="16" width="10.5546875" style="1" customWidth="1"/>
    <col min="17" max="17" width="10.77734375" style="1" customWidth="1"/>
    <col min="18" max="16384" width="9.21875" style="1"/>
  </cols>
  <sheetData>
    <row r="1" spans="2:34" s="7" customFormat="1" ht="19.5" x14ac:dyDescent="0.4">
      <c r="B1" s="76" t="s">
        <v>60</v>
      </c>
      <c r="C1" s="76"/>
      <c r="D1" s="76"/>
      <c r="AC1" s="71" t="s">
        <v>52</v>
      </c>
      <c r="AH1" s="68"/>
    </row>
    <row r="2" spans="2:34" ht="14.25" x14ac:dyDescent="0.2">
      <c r="B2" s="28"/>
      <c r="C2" s="28"/>
      <c r="D2" s="28"/>
      <c r="I2" s="204" t="s">
        <v>48</v>
      </c>
      <c r="J2" s="205"/>
      <c r="K2" s="205"/>
      <c r="L2" s="205"/>
      <c r="M2" s="205"/>
      <c r="N2" s="206"/>
      <c r="AC2" s="72" t="s">
        <v>53</v>
      </c>
      <c r="AH2" s="66"/>
    </row>
    <row r="3" spans="2:34" ht="15" customHeight="1" x14ac:dyDescent="0.2">
      <c r="B3" s="3" t="s">
        <v>4</v>
      </c>
      <c r="C3" s="210" t="s">
        <v>220</v>
      </c>
      <c r="D3" s="210"/>
      <c r="E3" s="210"/>
      <c r="I3" s="84"/>
      <c r="J3" s="7"/>
      <c r="K3" s="7"/>
      <c r="L3" s="7"/>
      <c r="M3" s="83" t="s">
        <v>44</v>
      </c>
      <c r="N3" s="167">
        <v>4748287</v>
      </c>
      <c r="AC3" s="72" t="s">
        <v>54</v>
      </c>
      <c r="AH3" s="66"/>
    </row>
    <row r="4" spans="2:34" ht="15" customHeight="1" thickBot="1" x14ac:dyDescent="0.25">
      <c r="B4" s="4" t="s">
        <v>84</v>
      </c>
      <c r="C4" s="211">
        <v>41787</v>
      </c>
      <c r="D4" s="211"/>
      <c r="E4" s="211"/>
      <c r="I4" s="84"/>
      <c r="J4" s="7"/>
      <c r="K4" s="7"/>
      <c r="L4" s="7"/>
      <c r="M4" s="83" t="s">
        <v>57</v>
      </c>
      <c r="N4" s="167">
        <v>4806761</v>
      </c>
      <c r="AC4" s="72" t="s">
        <v>55</v>
      </c>
      <c r="AH4" s="67"/>
    </row>
    <row r="5" spans="2:34" ht="15" customHeight="1" x14ac:dyDescent="0.2">
      <c r="B5" s="5" t="s">
        <v>0</v>
      </c>
      <c r="C5" s="212" t="s">
        <v>322</v>
      </c>
      <c r="D5" s="212"/>
      <c r="E5" s="212"/>
      <c r="I5" s="84"/>
      <c r="J5" s="7"/>
      <c r="K5" s="7"/>
      <c r="L5" s="7"/>
      <c r="M5" s="83" t="s">
        <v>58</v>
      </c>
      <c r="N5" s="168">
        <f>IF(REN_Load_2012+REN_Load_2013&gt;0,AVERAGE(REN_Load_2012,REN_Load_2013),0)</f>
        <v>4777524</v>
      </c>
    </row>
    <row r="6" spans="2:34" ht="15" customHeight="1" x14ac:dyDescent="0.2">
      <c r="B6" s="5" t="s">
        <v>1</v>
      </c>
      <c r="C6" s="212" t="s">
        <v>323</v>
      </c>
      <c r="D6" s="212"/>
      <c r="E6" s="212"/>
      <c r="I6" s="84"/>
      <c r="J6" s="7"/>
      <c r="K6" s="7"/>
      <c r="L6" s="7"/>
      <c r="M6" s="83" t="s">
        <v>59</v>
      </c>
      <c r="N6" s="85">
        <v>0.03</v>
      </c>
    </row>
    <row r="7" spans="2:34" ht="15" customHeight="1" x14ac:dyDescent="0.3">
      <c r="B7" s="5" t="s">
        <v>2</v>
      </c>
      <c r="C7" s="213" t="s">
        <v>324</v>
      </c>
      <c r="D7" s="214"/>
      <c r="E7" s="214"/>
      <c r="I7" s="106"/>
      <c r="J7" s="7"/>
      <c r="K7" s="7"/>
      <c r="L7" s="7"/>
      <c r="M7" s="83" t="s">
        <v>65</v>
      </c>
      <c r="N7" s="168">
        <f>N5*N6</f>
        <v>143325.72</v>
      </c>
    </row>
    <row r="8" spans="2:34" ht="15" customHeight="1" x14ac:dyDescent="0.2">
      <c r="B8" s="5"/>
      <c r="C8" s="5"/>
      <c r="D8" s="5"/>
      <c r="E8" s="65"/>
      <c r="I8" s="86"/>
      <c r="J8" s="87"/>
      <c r="K8" s="87"/>
      <c r="L8" s="87"/>
      <c r="M8" s="88" t="s">
        <v>56</v>
      </c>
      <c r="N8" s="172">
        <f>SUM(C20:M20)</f>
        <v>178757</v>
      </c>
    </row>
    <row r="9" spans="2:34" ht="15" customHeight="1" x14ac:dyDescent="0.2">
      <c r="B9" s="3" t="s">
        <v>61</v>
      </c>
      <c r="C9" s="77"/>
      <c r="D9" s="77"/>
    </row>
    <row r="10" spans="2:34" ht="15" customHeight="1" x14ac:dyDescent="0.2">
      <c r="C10" s="28"/>
      <c r="D10" s="28"/>
      <c r="G10" s="207" t="s">
        <v>168</v>
      </c>
      <c r="H10" s="208"/>
      <c r="I10" s="208"/>
      <c r="J10" s="208"/>
      <c r="K10" s="208"/>
      <c r="L10" s="208"/>
      <c r="M10" s="208"/>
      <c r="N10" s="209"/>
    </row>
    <row r="11" spans="2:34" s="69" customFormat="1" ht="14.25" customHeight="1" x14ac:dyDescent="0.25">
      <c r="B11" s="1"/>
      <c r="C11" s="70"/>
      <c r="D11" s="70"/>
      <c r="G11" s="84" t="s">
        <v>167</v>
      </c>
      <c r="H11" s="117"/>
      <c r="I11" s="117"/>
      <c r="J11" s="117"/>
      <c r="K11" s="117"/>
      <c r="L11" s="117"/>
      <c r="M11" s="7"/>
      <c r="N11" s="119">
        <v>1949929</v>
      </c>
    </row>
    <row r="12" spans="2:34" ht="12.75" x14ac:dyDescent="0.2">
      <c r="C12" s="28"/>
      <c r="D12" s="28"/>
      <c r="G12" s="84" t="s">
        <v>175</v>
      </c>
      <c r="H12" s="115"/>
      <c r="I12" s="115"/>
      <c r="J12" s="115"/>
      <c r="K12" s="115"/>
      <c r="L12" s="7"/>
      <c r="M12" s="7"/>
      <c r="N12" s="119">
        <v>320696528</v>
      </c>
    </row>
    <row r="13" spans="2:34" ht="12.75" x14ac:dyDescent="0.2">
      <c r="G13" s="118" t="s">
        <v>169</v>
      </c>
      <c r="H13" s="116"/>
      <c r="I13" s="116"/>
      <c r="J13" s="116"/>
      <c r="K13" s="116"/>
      <c r="L13" s="87"/>
      <c r="M13" s="87"/>
      <c r="N13" s="120">
        <f>IF(REN_RetailRevenueRequirement_2014&gt;0,REN_Expenditure_Amount_2014/REN_RetailRevenueRequirement_2014,"")</f>
        <v>6.0802934542528008E-3</v>
      </c>
    </row>
    <row r="14" spans="2:34" ht="17.55" customHeight="1" x14ac:dyDescent="0.2">
      <c r="I14" s="215"/>
      <c r="J14" s="215"/>
      <c r="K14" s="215"/>
      <c r="L14" s="215"/>
      <c r="M14" s="215"/>
      <c r="N14" s="62"/>
      <c r="O14" s="24"/>
      <c r="P14" s="24"/>
    </row>
    <row r="15" spans="2:34" ht="16.95" customHeight="1" x14ac:dyDescent="0.25">
      <c r="B15" s="5"/>
      <c r="C15" s="33" t="s">
        <v>14</v>
      </c>
      <c r="D15" s="31" t="s">
        <v>15</v>
      </c>
      <c r="E15" s="31" t="s">
        <v>16</v>
      </c>
      <c r="F15" s="31" t="s">
        <v>17</v>
      </c>
      <c r="G15" s="31" t="s">
        <v>18</v>
      </c>
      <c r="H15" s="31" t="s">
        <v>19</v>
      </c>
      <c r="I15" s="31" t="s">
        <v>20</v>
      </c>
      <c r="J15" s="31" t="s">
        <v>21</v>
      </c>
      <c r="K15" s="32" t="s">
        <v>22</v>
      </c>
      <c r="L15" s="32" t="s">
        <v>86</v>
      </c>
      <c r="M15" s="32" t="s">
        <v>87</v>
      </c>
      <c r="N15" s="62"/>
      <c r="O15" s="24"/>
      <c r="P15" s="24"/>
    </row>
    <row r="16" spans="2:34" ht="21.75" customHeight="1" x14ac:dyDescent="0.25">
      <c r="B16" s="10"/>
      <c r="C16" s="27" t="s">
        <v>23</v>
      </c>
      <c r="D16" s="27" t="s">
        <v>24</v>
      </c>
      <c r="E16" s="27" t="s">
        <v>25</v>
      </c>
      <c r="F16" s="27" t="s">
        <v>26</v>
      </c>
      <c r="G16" s="27" t="s">
        <v>27</v>
      </c>
      <c r="H16" s="27" t="s">
        <v>42</v>
      </c>
      <c r="I16" s="27" t="s">
        <v>28</v>
      </c>
      <c r="J16" s="27" t="s">
        <v>29</v>
      </c>
      <c r="K16" s="27" t="s">
        <v>30</v>
      </c>
      <c r="L16" s="27" t="s">
        <v>34</v>
      </c>
      <c r="M16" s="27" t="s">
        <v>31</v>
      </c>
      <c r="N16" s="62"/>
      <c r="O16" s="24"/>
      <c r="P16" s="24"/>
    </row>
    <row r="17" spans="2:34" ht="18" customHeight="1" x14ac:dyDescent="0.25">
      <c r="B17" s="5"/>
      <c r="C17" s="25" t="s">
        <v>7</v>
      </c>
      <c r="D17" s="25" t="s">
        <v>7</v>
      </c>
      <c r="E17" s="25" t="s">
        <v>7</v>
      </c>
      <c r="F17" s="25" t="s">
        <v>7</v>
      </c>
      <c r="G17" s="25" t="s">
        <v>7</v>
      </c>
      <c r="H17" s="25" t="s">
        <v>7</v>
      </c>
      <c r="I17" s="25" t="s">
        <v>7</v>
      </c>
      <c r="J17" s="25" t="s">
        <v>7</v>
      </c>
      <c r="K17" s="25" t="s">
        <v>7</v>
      </c>
      <c r="L17" s="25" t="s">
        <v>64</v>
      </c>
      <c r="M17" s="25" t="s">
        <v>64</v>
      </c>
      <c r="N17" s="62"/>
      <c r="O17" s="24"/>
      <c r="P17" s="24"/>
    </row>
    <row r="18" spans="2:34" ht="15" customHeight="1" x14ac:dyDescent="0.25">
      <c r="B18" s="4" t="s">
        <v>45</v>
      </c>
      <c r="C18" s="12">
        <v>70043</v>
      </c>
      <c r="D18" s="12">
        <f t="shared" ref="D18:K18" si="0">SUM(F44:F64)</f>
        <v>0</v>
      </c>
      <c r="E18" s="12">
        <f t="shared" si="0"/>
        <v>0</v>
      </c>
      <c r="F18" s="12">
        <f t="shared" si="0"/>
        <v>0</v>
      </c>
      <c r="G18" s="12">
        <f t="shared" si="0"/>
        <v>0</v>
      </c>
      <c r="H18" s="12">
        <f t="shared" si="0"/>
        <v>0</v>
      </c>
      <c r="I18" s="12">
        <f t="shared" si="0"/>
        <v>0</v>
      </c>
      <c r="J18" s="12">
        <f t="shared" si="0"/>
        <v>0</v>
      </c>
      <c r="K18" s="12">
        <f t="shared" si="0"/>
        <v>0</v>
      </c>
      <c r="L18" s="12">
        <v>12199</v>
      </c>
      <c r="M18" s="105"/>
      <c r="N18" s="63"/>
      <c r="O18" s="74"/>
      <c r="P18" s="74"/>
    </row>
    <row r="19" spans="2:34" ht="16.5" customHeight="1" x14ac:dyDescent="0.25">
      <c r="B19" s="4" t="s">
        <v>46</v>
      </c>
      <c r="C19" s="105"/>
      <c r="D19" s="13">
        <v>96515</v>
      </c>
      <c r="E19" s="13">
        <f t="shared" ref="E19:M19" si="1">SUM(G72:G96)</f>
        <v>0</v>
      </c>
      <c r="F19" s="13">
        <f t="shared" si="1"/>
        <v>0</v>
      </c>
      <c r="G19" s="13">
        <f t="shared" si="1"/>
        <v>0</v>
      </c>
      <c r="H19" s="13">
        <f t="shared" si="1"/>
        <v>0</v>
      </c>
      <c r="I19" s="13">
        <f t="shared" si="1"/>
        <v>0</v>
      </c>
      <c r="J19" s="13">
        <f t="shared" si="1"/>
        <v>0</v>
      </c>
      <c r="K19" s="13">
        <f t="shared" si="1"/>
        <v>0</v>
      </c>
      <c r="L19" s="13">
        <f t="shared" si="1"/>
        <v>0</v>
      </c>
      <c r="M19" s="13">
        <f t="shared" si="1"/>
        <v>0</v>
      </c>
      <c r="N19" s="64"/>
      <c r="O19" s="24"/>
      <c r="P19" s="24"/>
    </row>
    <row r="20" spans="2:34" ht="16.5" customHeight="1" x14ac:dyDescent="0.25">
      <c r="B20" s="5" t="s">
        <v>47</v>
      </c>
      <c r="C20" s="14">
        <f t="shared" ref="C20:L20" si="2">C18+C19</f>
        <v>70043</v>
      </c>
      <c r="D20" s="14">
        <f t="shared" si="2"/>
        <v>96515</v>
      </c>
      <c r="E20" s="14">
        <f t="shared" si="2"/>
        <v>0</v>
      </c>
      <c r="F20" s="14">
        <f t="shared" si="2"/>
        <v>0</v>
      </c>
      <c r="G20" s="14">
        <f t="shared" si="2"/>
        <v>0</v>
      </c>
      <c r="H20" s="14">
        <f t="shared" si="2"/>
        <v>0</v>
      </c>
      <c r="I20" s="14">
        <f t="shared" si="2"/>
        <v>0</v>
      </c>
      <c r="J20" s="14">
        <f t="shared" si="2"/>
        <v>0</v>
      </c>
      <c r="K20" s="14">
        <f t="shared" si="2"/>
        <v>0</v>
      </c>
      <c r="L20" s="14">
        <f t="shared" si="2"/>
        <v>12199</v>
      </c>
      <c r="M20" s="13">
        <f>M19</f>
        <v>0</v>
      </c>
      <c r="N20" s="64"/>
      <c r="O20" s="24"/>
      <c r="P20" s="24"/>
    </row>
    <row r="21" spans="2:34" ht="16.5" customHeight="1" x14ac:dyDescent="0.25">
      <c r="L21" s="7"/>
      <c r="M21" s="4"/>
      <c r="N21" s="64"/>
      <c r="O21" s="24"/>
      <c r="P21" s="24"/>
    </row>
    <row r="22" spans="2:34" ht="21.75" customHeight="1" x14ac:dyDescent="0.25">
      <c r="L22" s="7"/>
      <c r="M22" s="4"/>
      <c r="N22" s="64"/>
      <c r="O22" s="24"/>
      <c r="P22" s="24"/>
    </row>
    <row r="23" spans="2:34" ht="15" customHeight="1" x14ac:dyDescent="0.25">
      <c r="B23" s="75"/>
      <c r="C23" s="78"/>
      <c r="D23" s="78"/>
      <c r="E23" s="75"/>
      <c r="F23" s="78"/>
      <c r="G23" s="78"/>
      <c r="I23" s="7"/>
      <c r="J23" s="7"/>
      <c r="K23" s="7"/>
      <c r="L23" s="7"/>
      <c r="M23" s="4"/>
      <c r="N23" s="64"/>
      <c r="O23" s="24"/>
      <c r="P23" s="24"/>
    </row>
    <row r="24" spans="2:34" ht="15" customHeight="1" x14ac:dyDescent="0.25"/>
    <row r="25" spans="2:34" s="11" customFormat="1" x14ac:dyDescent="0.25">
      <c r="AH25" s="1"/>
    </row>
    <row r="26" spans="2:34" ht="15" customHeight="1" x14ac:dyDescent="0.25">
      <c r="AH26" s="11"/>
    </row>
    <row r="27" spans="2:34" ht="15" customHeight="1" x14ac:dyDescent="0.25">
      <c r="AH27" s="11"/>
    </row>
    <row r="28" spans="2:34" ht="15" customHeight="1" x14ac:dyDescent="0.25">
      <c r="AH28" s="11"/>
    </row>
    <row r="29" spans="2:34" ht="15" customHeight="1" x14ac:dyDescent="0.25">
      <c r="AH29" s="11"/>
    </row>
    <row r="30" spans="2:34" ht="15" customHeight="1" x14ac:dyDescent="0.25">
      <c r="AH30" s="11"/>
    </row>
    <row r="31" spans="2:34" ht="15" customHeight="1" x14ac:dyDescent="0.25">
      <c r="AH31" s="11"/>
    </row>
    <row r="32" spans="2:34" ht="15" customHeight="1" x14ac:dyDescent="0.25">
      <c r="AH32" s="11"/>
    </row>
    <row r="33" spans="2:34" ht="15" customHeight="1" x14ac:dyDescent="0.25"/>
    <row r="34" spans="2:34" ht="15" customHeight="1" x14ac:dyDescent="0.25"/>
    <row r="35" spans="2:34" ht="15" customHeight="1" x14ac:dyDescent="0.25"/>
    <row r="36" spans="2:34" ht="16.5" customHeight="1" x14ac:dyDescent="0.25">
      <c r="B36" s="6" t="s">
        <v>40</v>
      </c>
      <c r="C36" s="6"/>
      <c r="D36" s="6"/>
      <c r="E36" s="10" t="s">
        <v>4</v>
      </c>
      <c r="F36" s="216" t="str">
        <f>C3</f>
        <v>Tacoma Power</v>
      </c>
      <c r="G36" s="217"/>
      <c r="H36" s="218"/>
    </row>
    <row r="37" spans="2:34" ht="15" customHeight="1" x14ac:dyDescent="0.25">
      <c r="E37" s="10" t="s">
        <v>13</v>
      </c>
      <c r="F37" s="219">
        <v>2014</v>
      </c>
      <c r="G37" s="220"/>
      <c r="H37" s="221"/>
    </row>
    <row r="38" spans="2:34" ht="15" customHeight="1" x14ac:dyDescent="0.25">
      <c r="E38" s="10"/>
      <c r="F38" s="73"/>
      <c r="G38" s="9"/>
      <c r="H38" s="9"/>
    </row>
    <row r="39" spans="2:34" s="29" customFormat="1" ht="27" customHeight="1" x14ac:dyDescent="0.3">
      <c r="B39" s="222" t="s">
        <v>173</v>
      </c>
      <c r="C39" s="223"/>
      <c r="D39" s="223"/>
      <c r="E39" s="224"/>
      <c r="F39" s="224"/>
      <c r="G39" s="224"/>
      <c r="H39" s="30"/>
      <c r="AH39" s="1"/>
    </row>
    <row r="40" spans="2:34" ht="15" customHeight="1" x14ac:dyDescent="0.25">
      <c r="E40" s="15"/>
      <c r="F40" s="15"/>
      <c r="G40" s="15"/>
      <c r="H40" s="15"/>
      <c r="I40" s="15"/>
      <c r="J40" s="15"/>
      <c r="K40" s="15"/>
      <c r="L40" s="15"/>
      <c r="M40" s="15"/>
      <c r="N40" s="15"/>
      <c r="P40" s="15"/>
      <c r="Q40" s="15"/>
      <c r="R40" s="15"/>
      <c r="S40" s="15"/>
      <c r="AH40" s="29"/>
    </row>
    <row r="41" spans="2:34" s="7" customFormat="1" ht="12.75" customHeight="1" x14ac:dyDescent="0.25">
      <c r="E41" s="33" t="s">
        <v>14</v>
      </c>
      <c r="F41" s="31" t="s">
        <v>15</v>
      </c>
      <c r="G41" s="31" t="s">
        <v>16</v>
      </c>
      <c r="H41" s="31" t="s">
        <v>17</v>
      </c>
      <c r="I41" s="31" t="s">
        <v>18</v>
      </c>
      <c r="J41" s="31" t="s">
        <v>19</v>
      </c>
      <c r="K41" s="31" t="s">
        <v>20</v>
      </c>
      <c r="L41" s="31" t="s">
        <v>21</v>
      </c>
      <c r="M41" s="32" t="s">
        <v>22</v>
      </c>
      <c r="N41" s="32" t="s">
        <v>86</v>
      </c>
      <c r="O41" s="1"/>
      <c r="AH41" s="1"/>
    </row>
    <row r="42" spans="2:34" s="11" customFormat="1" ht="43.5" customHeight="1" x14ac:dyDescent="0.25">
      <c r="E42" s="27" t="s">
        <v>33</v>
      </c>
      <c r="F42" s="27" t="s">
        <v>24</v>
      </c>
      <c r="G42" s="27" t="s">
        <v>25</v>
      </c>
      <c r="H42" s="27" t="s">
        <v>26</v>
      </c>
      <c r="I42" s="27" t="s">
        <v>27</v>
      </c>
      <c r="J42" s="27" t="s">
        <v>41</v>
      </c>
      <c r="K42" s="27" t="s">
        <v>28</v>
      </c>
      <c r="L42" s="27" t="s">
        <v>29</v>
      </c>
      <c r="M42" s="27" t="s">
        <v>30</v>
      </c>
      <c r="N42" s="27" t="s">
        <v>34</v>
      </c>
      <c r="O42" s="1"/>
      <c r="AH42" s="7"/>
    </row>
    <row r="43" spans="2:34" ht="15" customHeight="1" x14ac:dyDescent="0.25">
      <c r="B43" s="79" t="s">
        <v>35</v>
      </c>
      <c r="C43" s="225" t="s">
        <v>62</v>
      </c>
      <c r="D43" s="225"/>
      <c r="E43" s="25" t="s">
        <v>7</v>
      </c>
      <c r="F43" s="25" t="s">
        <v>7</v>
      </c>
      <c r="G43" s="25" t="s">
        <v>7</v>
      </c>
      <c r="H43" s="25" t="s">
        <v>7</v>
      </c>
      <c r="I43" s="25" t="s">
        <v>7</v>
      </c>
      <c r="J43" s="25" t="s">
        <v>7</v>
      </c>
      <c r="K43" s="25" t="s">
        <v>7</v>
      </c>
      <c r="L43" s="25" t="s">
        <v>7</v>
      </c>
      <c r="M43" s="25" t="s">
        <v>7</v>
      </c>
      <c r="N43" s="25" t="s">
        <v>64</v>
      </c>
      <c r="AH43" s="11"/>
    </row>
    <row r="44" spans="2:34" ht="15" customHeight="1" x14ac:dyDescent="0.25">
      <c r="B44" s="169" t="s">
        <v>267</v>
      </c>
      <c r="C44" s="44"/>
      <c r="D44" s="44"/>
      <c r="E44" s="49"/>
      <c r="F44" s="50"/>
      <c r="G44" s="50"/>
      <c r="H44" s="50"/>
      <c r="I44" s="50"/>
      <c r="J44" s="50"/>
      <c r="K44" s="50"/>
      <c r="L44" s="50"/>
      <c r="M44" s="50"/>
      <c r="N44" s="50"/>
    </row>
    <row r="45" spans="2:34" ht="15" customHeight="1" x14ac:dyDescent="0.25">
      <c r="B45" s="80" t="s">
        <v>268</v>
      </c>
      <c r="C45" s="45"/>
      <c r="D45" s="45"/>
      <c r="E45" s="52">
        <v>26488</v>
      </c>
      <c r="F45" s="53"/>
      <c r="G45" s="53"/>
      <c r="H45" s="53"/>
      <c r="I45" s="53"/>
      <c r="J45" s="53"/>
      <c r="K45" s="53"/>
      <c r="L45" s="53"/>
      <c r="M45" s="53"/>
      <c r="N45" s="53">
        <v>5298</v>
      </c>
    </row>
    <row r="46" spans="2:34" ht="15" customHeight="1" x14ac:dyDescent="0.25">
      <c r="B46" s="80" t="s">
        <v>269</v>
      </c>
      <c r="C46" s="45"/>
      <c r="D46" s="45"/>
      <c r="E46" s="52">
        <v>15919</v>
      </c>
      <c r="F46" s="53"/>
      <c r="G46" s="53"/>
      <c r="H46" s="53"/>
      <c r="I46" s="53"/>
      <c r="J46" s="53"/>
      <c r="K46" s="53"/>
      <c r="L46" s="53"/>
      <c r="M46" s="53"/>
      <c r="N46" s="53">
        <v>3184</v>
      </c>
    </row>
    <row r="47" spans="2:34" ht="15" customHeight="1" x14ac:dyDescent="0.25">
      <c r="B47" s="81" t="s">
        <v>270</v>
      </c>
      <c r="C47" s="46"/>
      <c r="D47" s="46"/>
      <c r="E47" s="52">
        <v>270</v>
      </c>
      <c r="F47" s="53"/>
      <c r="G47" s="53"/>
      <c r="H47" s="53"/>
      <c r="I47" s="53"/>
      <c r="J47" s="53"/>
      <c r="K47" s="53"/>
      <c r="L47" s="53"/>
      <c r="M47" s="53"/>
      <c r="N47" s="53">
        <v>54</v>
      </c>
    </row>
    <row r="48" spans="2:34" ht="15" customHeight="1" x14ac:dyDescent="0.25">
      <c r="B48" s="82" t="s">
        <v>271</v>
      </c>
      <c r="C48" s="38"/>
      <c r="D48" s="38"/>
      <c r="E48" s="52"/>
      <c r="F48" s="53"/>
      <c r="G48" s="53"/>
      <c r="H48" s="53"/>
      <c r="I48" s="53"/>
      <c r="J48" s="53"/>
      <c r="K48" s="53"/>
      <c r="L48" s="53"/>
      <c r="M48" s="53"/>
      <c r="N48" s="53"/>
    </row>
    <row r="49" spans="2:14" ht="15" customHeight="1" x14ac:dyDescent="0.25">
      <c r="B49" s="170" t="s">
        <v>272</v>
      </c>
      <c r="C49" s="39"/>
      <c r="D49" s="39"/>
      <c r="E49" s="52">
        <v>2144</v>
      </c>
      <c r="F49" s="53"/>
      <c r="G49" s="53"/>
      <c r="H49" s="53"/>
      <c r="I49" s="53"/>
      <c r="J49" s="53"/>
      <c r="K49" s="53"/>
      <c r="L49" s="53"/>
      <c r="M49" s="53"/>
      <c r="N49" s="53"/>
    </row>
    <row r="50" spans="2:14" ht="15" customHeight="1" x14ac:dyDescent="0.25">
      <c r="B50" s="41" t="s">
        <v>273</v>
      </c>
      <c r="C50" s="39"/>
      <c r="D50" s="39"/>
      <c r="E50" s="52"/>
      <c r="F50" s="53"/>
      <c r="G50" s="53"/>
      <c r="H50" s="53"/>
      <c r="I50" s="53"/>
      <c r="J50" s="53"/>
      <c r="K50" s="53"/>
      <c r="L50" s="53"/>
      <c r="M50" s="53"/>
      <c r="N50" s="53"/>
    </row>
    <row r="51" spans="2:14" ht="15" customHeight="1" x14ac:dyDescent="0.25">
      <c r="B51" s="170" t="s">
        <v>274</v>
      </c>
      <c r="C51" s="39"/>
      <c r="D51" s="39"/>
      <c r="E51" s="52">
        <v>9660</v>
      </c>
      <c r="F51" s="53"/>
      <c r="G51" s="53"/>
      <c r="H51" s="53"/>
      <c r="I51" s="53"/>
      <c r="J51" s="53"/>
      <c r="K51" s="53"/>
      <c r="L51" s="53"/>
      <c r="M51" s="53"/>
      <c r="N51" s="53">
        <v>1932</v>
      </c>
    </row>
    <row r="52" spans="2:14" ht="15" customHeight="1" x14ac:dyDescent="0.25">
      <c r="B52" s="170" t="s">
        <v>275</v>
      </c>
      <c r="C52" s="39"/>
      <c r="D52" s="39"/>
      <c r="E52" s="52">
        <v>8656</v>
      </c>
      <c r="F52" s="53"/>
      <c r="G52" s="53"/>
      <c r="H52" s="53"/>
      <c r="I52" s="53"/>
      <c r="J52" s="53"/>
      <c r="K52" s="53"/>
      <c r="L52" s="53"/>
      <c r="M52" s="53"/>
      <c r="N52" s="53">
        <v>1731</v>
      </c>
    </row>
    <row r="53" spans="2:14" ht="15" customHeight="1" x14ac:dyDescent="0.25">
      <c r="B53" s="41" t="s">
        <v>276</v>
      </c>
      <c r="C53" s="39"/>
      <c r="D53" s="39"/>
      <c r="E53" s="52">
        <v>3464</v>
      </c>
      <c r="F53" s="53"/>
      <c r="G53" s="53"/>
      <c r="H53" s="53"/>
      <c r="I53" s="53"/>
      <c r="J53" s="53"/>
      <c r="K53" s="53"/>
      <c r="L53" s="53"/>
      <c r="M53" s="53"/>
      <c r="N53" s="53"/>
    </row>
    <row r="54" spans="2:14" ht="15" customHeight="1" x14ac:dyDescent="0.25">
      <c r="B54" s="41" t="s">
        <v>277</v>
      </c>
      <c r="C54" s="39"/>
      <c r="D54" s="39"/>
      <c r="E54" s="52"/>
      <c r="F54" s="53"/>
      <c r="G54" s="53"/>
      <c r="H54" s="53"/>
      <c r="I54" s="53"/>
      <c r="J54" s="53"/>
      <c r="K54" s="53"/>
      <c r="L54" s="53"/>
      <c r="M54" s="53"/>
      <c r="N54" s="53"/>
    </row>
    <row r="55" spans="2:14" ht="15" customHeight="1" x14ac:dyDescent="0.25">
      <c r="B55" s="170" t="s">
        <v>278</v>
      </c>
      <c r="C55" s="39"/>
      <c r="D55" s="39"/>
      <c r="E55" s="52">
        <v>3442</v>
      </c>
      <c r="F55" s="53"/>
      <c r="G55" s="53"/>
      <c r="H55" s="53"/>
      <c r="I55" s="53"/>
      <c r="J55" s="53"/>
      <c r="K55" s="53"/>
      <c r="L55" s="53"/>
      <c r="M55" s="53"/>
      <c r="N55" s="53"/>
    </row>
    <row r="56" spans="2:14" ht="15" customHeight="1" x14ac:dyDescent="0.25">
      <c r="B56" s="41"/>
      <c r="C56" s="39"/>
      <c r="D56" s="39"/>
      <c r="E56" s="52"/>
      <c r="F56" s="53"/>
      <c r="G56" s="53"/>
      <c r="H56" s="53"/>
      <c r="I56" s="53"/>
      <c r="J56" s="53"/>
      <c r="K56" s="53"/>
      <c r="L56" s="53"/>
      <c r="M56" s="53"/>
      <c r="N56" s="53"/>
    </row>
    <row r="57" spans="2:14" ht="15" customHeight="1" x14ac:dyDescent="0.25">
      <c r="B57" s="41"/>
      <c r="C57" s="39"/>
      <c r="D57" s="39"/>
      <c r="E57" s="52"/>
      <c r="F57" s="53"/>
      <c r="G57" s="53"/>
      <c r="H57" s="53"/>
      <c r="I57" s="53"/>
      <c r="J57" s="53"/>
      <c r="K57" s="53"/>
      <c r="L57" s="53"/>
      <c r="M57" s="53"/>
      <c r="N57" s="53"/>
    </row>
    <row r="58" spans="2:14" ht="15" customHeight="1" x14ac:dyDescent="0.25">
      <c r="B58" s="41"/>
      <c r="C58" s="39"/>
      <c r="D58" s="39"/>
      <c r="E58" s="52"/>
      <c r="F58" s="53"/>
      <c r="G58" s="53"/>
      <c r="H58" s="53"/>
      <c r="I58" s="53"/>
      <c r="J58" s="53"/>
      <c r="K58" s="53"/>
      <c r="L58" s="53"/>
      <c r="M58" s="53"/>
      <c r="N58" s="53"/>
    </row>
    <row r="59" spans="2:14" ht="15" customHeight="1" x14ac:dyDescent="0.25">
      <c r="B59" s="41"/>
      <c r="C59" s="39"/>
      <c r="D59" s="39"/>
      <c r="E59" s="52"/>
      <c r="F59" s="53"/>
      <c r="G59" s="53"/>
      <c r="H59" s="53"/>
      <c r="I59" s="53"/>
      <c r="J59" s="53"/>
      <c r="K59" s="53"/>
      <c r="L59" s="53"/>
      <c r="M59" s="53"/>
      <c r="N59" s="53"/>
    </row>
    <row r="60" spans="2:14" ht="15" customHeight="1" x14ac:dyDescent="0.25">
      <c r="B60" s="41"/>
      <c r="C60" s="39"/>
      <c r="D60" s="39"/>
      <c r="E60" s="52"/>
      <c r="F60" s="53"/>
      <c r="G60" s="53"/>
      <c r="H60" s="53"/>
      <c r="I60" s="53"/>
      <c r="J60" s="53"/>
      <c r="K60" s="53"/>
      <c r="L60" s="53"/>
      <c r="M60" s="53"/>
      <c r="N60" s="53"/>
    </row>
    <row r="61" spans="2:14" ht="15" customHeight="1" x14ac:dyDescent="0.25">
      <c r="B61" s="41"/>
      <c r="C61" s="39"/>
      <c r="D61" s="39"/>
      <c r="E61" s="52"/>
      <c r="F61" s="53"/>
      <c r="G61" s="53"/>
      <c r="H61" s="53"/>
      <c r="I61" s="53"/>
      <c r="J61" s="53"/>
      <c r="K61" s="53"/>
      <c r="L61" s="53"/>
      <c r="M61" s="53"/>
      <c r="N61" s="53"/>
    </row>
    <row r="62" spans="2:14" ht="15" customHeight="1" x14ac:dyDescent="0.25">
      <c r="B62" s="41"/>
      <c r="C62" s="39"/>
      <c r="D62" s="39"/>
      <c r="E62" s="52"/>
      <c r="F62" s="53"/>
      <c r="G62" s="53"/>
      <c r="H62" s="53"/>
      <c r="I62" s="53"/>
      <c r="J62" s="53"/>
      <c r="K62" s="53"/>
      <c r="L62" s="53"/>
      <c r="M62" s="53"/>
      <c r="N62" s="53"/>
    </row>
    <row r="63" spans="2:14" ht="15" customHeight="1" x14ac:dyDescent="0.25">
      <c r="B63" s="41"/>
      <c r="C63" s="39"/>
      <c r="D63" s="39"/>
      <c r="E63" s="52"/>
      <c r="F63" s="53"/>
      <c r="G63" s="53"/>
      <c r="H63" s="53"/>
      <c r="I63" s="53"/>
      <c r="J63" s="53"/>
      <c r="K63" s="53"/>
      <c r="L63" s="53"/>
      <c r="M63" s="53"/>
      <c r="N63" s="53"/>
    </row>
    <row r="64" spans="2:14" ht="15" customHeight="1" x14ac:dyDescent="0.25">
      <c r="B64" s="42"/>
      <c r="C64" s="40"/>
      <c r="D64" s="40"/>
      <c r="E64" s="55"/>
      <c r="F64" s="56"/>
      <c r="G64" s="56"/>
      <c r="H64" s="56"/>
      <c r="I64" s="56"/>
      <c r="J64" s="56"/>
      <c r="K64" s="56"/>
      <c r="L64" s="56"/>
      <c r="M64" s="56"/>
      <c r="N64" s="56"/>
    </row>
    <row r="65" spans="1:34" ht="15" customHeight="1" x14ac:dyDescent="0.25">
      <c r="E65" s="7"/>
      <c r="F65" s="7"/>
      <c r="G65" s="7"/>
      <c r="H65" s="7"/>
      <c r="I65" s="7"/>
      <c r="J65" s="7"/>
      <c r="K65" s="7"/>
      <c r="L65" s="7"/>
      <c r="M65" s="7"/>
      <c r="N65" s="7"/>
    </row>
    <row r="66" spans="1:34" ht="17.25" customHeight="1" x14ac:dyDescent="0.25">
      <c r="B66" s="6" t="s">
        <v>32</v>
      </c>
      <c r="C66" s="6"/>
      <c r="D66" s="6"/>
      <c r="E66" s="10" t="s">
        <v>4</v>
      </c>
      <c r="F66" s="216" t="str">
        <f>C3</f>
        <v>Tacoma Power</v>
      </c>
      <c r="G66" s="217"/>
      <c r="H66" s="218"/>
    </row>
    <row r="67" spans="1:34" ht="15" customHeight="1" x14ac:dyDescent="0.25">
      <c r="E67" s="10" t="s">
        <v>13</v>
      </c>
      <c r="F67" s="219">
        <v>2014</v>
      </c>
      <c r="G67" s="220"/>
      <c r="H67" s="221"/>
    </row>
    <row r="68" spans="1:34" ht="15" customHeight="1" x14ac:dyDescent="0.25">
      <c r="B68" s="10"/>
      <c r="C68" s="10"/>
      <c r="D68" s="10"/>
      <c r="E68" s="8"/>
      <c r="H68" s="26"/>
      <c r="I68" s="7"/>
    </row>
    <row r="69" spans="1:34" s="7" customFormat="1" ht="16.5" customHeight="1" x14ac:dyDescent="0.25">
      <c r="B69" s="6"/>
      <c r="C69" s="6"/>
      <c r="D69" s="6"/>
      <c r="E69" s="33" t="s">
        <v>14</v>
      </c>
      <c r="F69" s="31" t="s">
        <v>15</v>
      </c>
      <c r="G69" s="31" t="s">
        <v>16</v>
      </c>
      <c r="H69" s="31" t="s">
        <v>17</v>
      </c>
      <c r="I69" s="31" t="s">
        <v>18</v>
      </c>
      <c r="J69" s="31" t="s">
        <v>19</v>
      </c>
      <c r="K69" s="31" t="s">
        <v>20</v>
      </c>
      <c r="L69" s="31" t="s">
        <v>21</v>
      </c>
      <c r="M69" s="32" t="s">
        <v>22</v>
      </c>
      <c r="N69" s="32" t="s">
        <v>86</v>
      </c>
      <c r="O69" s="32" t="s">
        <v>87</v>
      </c>
      <c r="AH69" s="1"/>
    </row>
    <row r="70" spans="1:34" s="11" customFormat="1" ht="36" x14ac:dyDescent="0.25">
      <c r="B70" s="10"/>
      <c r="C70" s="10"/>
      <c r="D70" s="10"/>
      <c r="E70" s="27" t="s">
        <v>33</v>
      </c>
      <c r="F70" s="27" t="s">
        <v>24</v>
      </c>
      <c r="G70" s="27" t="s">
        <v>25</v>
      </c>
      <c r="H70" s="27" t="s">
        <v>26</v>
      </c>
      <c r="I70" s="27" t="s">
        <v>27</v>
      </c>
      <c r="J70" s="27" t="s">
        <v>42</v>
      </c>
      <c r="K70" s="27" t="s">
        <v>28</v>
      </c>
      <c r="L70" s="27" t="s">
        <v>29</v>
      </c>
      <c r="M70" s="27" t="s">
        <v>30</v>
      </c>
      <c r="N70" s="27" t="s">
        <v>34</v>
      </c>
      <c r="O70" s="27" t="s">
        <v>31</v>
      </c>
      <c r="AH70" s="7"/>
    </row>
    <row r="71" spans="1:34" ht="15" customHeight="1" x14ac:dyDescent="0.25">
      <c r="B71" s="79" t="s">
        <v>35</v>
      </c>
      <c r="C71" s="43" t="s">
        <v>62</v>
      </c>
      <c r="D71" s="43" t="s">
        <v>63</v>
      </c>
      <c r="E71" s="25" t="s">
        <v>7</v>
      </c>
      <c r="F71" s="25" t="s">
        <v>7</v>
      </c>
      <c r="G71" s="25" t="s">
        <v>7</v>
      </c>
      <c r="H71" s="25" t="s">
        <v>7</v>
      </c>
      <c r="I71" s="25" t="s">
        <v>7</v>
      </c>
      <c r="J71" s="25" t="s">
        <v>7</v>
      </c>
      <c r="K71" s="25" t="s">
        <v>7</v>
      </c>
      <c r="L71" s="25" t="s">
        <v>7</v>
      </c>
      <c r="M71" s="25" t="s">
        <v>7</v>
      </c>
      <c r="N71" s="25" t="s">
        <v>64</v>
      </c>
      <c r="O71" s="25" t="s">
        <v>64</v>
      </c>
      <c r="AH71" s="11"/>
    </row>
    <row r="72" spans="1:34" ht="15" customHeight="1" x14ac:dyDescent="0.25">
      <c r="A72" s="7"/>
      <c r="B72" s="171" t="s">
        <v>279</v>
      </c>
      <c r="C72" s="48"/>
      <c r="D72" s="48"/>
      <c r="E72" s="58"/>
      <c r="F72" s="50"/>
      <c r="G72" s="50"/>
      <c r="H72" s="50"/>
      <c r="I72" s="50"/>
      <c r="J72" s="50"/>
      <c r="K72" s="50"/>
      <c r="L72" s="50"/>
      <c r="M72" s="50"/>
      <c r="N72" s="50"/>
      <c r="O72" s="51"/>
    </row>
    <row r="73" spans="1:34" ht="15" customHeight="1" x14ac:dyDescent="0.25">
      <c r="A73" s="7"/>
      <c r="B73" s="170" t="s">
        <v>281</v>
      </c>
      <c r="C73" s="170" t="s">
        <v>280</v>
      </c>
      <c r="D73" s="170">
        <v>2013</v>
      </c>
      <c r="E73" s="59"/>
      <c r="F73" s="53">
        <v>4317</v>
      </c>
      <c r="G73" s="53"/>
      <c r="H73" s="53"/>
      <c r="I73" s="53"/>
      <c r="J73" s="53"/>
      <c r="K73" s="53"/>
      <c r="L73" s="53"/>
      <c r="M73" s="53"/>
      <c r="N73" s="53"/>
      <c r="O73" s="54"/>
    </row>
    <row r="74" spans="1:34" ht="15" customHeight="1" x14ac:dyDescent="0.25">
      <c r="A74" s="7"/>
      <c r="B74" s="170" t="s">
        <v>282</v>
      </c>
      <c r="C74" s="170" t="s">
        <v>283</v>
      </c>
      <c r="D74" s="170">
        <v>2013</v>
      </c>
      <c r="E74" s="59"/>
      <c r="F74" s="53">
        <v>5794</v>
      </c>
      <c r="G74" s="53"/>
      <c r="H74" s="53"/>
      <c r="I74" s="53"/>
      <c r="J74" s="53"/>
      <c r="K74" s="53"/>
      <c r="L74" s="53"/>
      <c r="M74" s="53"/>
      <c r="N74" s="53"/>
      <c r="O74" s="54"/>
    </row>
    <row r="75" spans="1:34" ht="15" customHeight="1" x14ac:dyDescent="0.25">
      <c r="A75" s="7"/>
      <c r="B75" s="170" t="s">
        <v>284</v>
      </c>
      <c r="C75" s="170" t="s">
        <v>285</v>
      </c>
      <c r="D75" s="170">
        <v>2013</v>
      </c>
      <c r="E75" s="59"/>
      <c r="F75" s="53">
        <v>12881</v>
      </c>
      <c r="G75" s="53"/>
      <c r="H75" s="53"/>
      <c r="I75" s="53"/>
      <c r="J75" s="53"/>
      <c r="K75" s="53"/>
      <c r="L75" s="53"/>
      <c r="M75" s="53"/>
      <c r="N75" s="53"/>
      <c r="O75" s="54"/>
    </row>
    <row r="76" spans="1:34" ht="15" customHeight="1" x14ac:dyDescent="0.25">
      <c r="A76" s="7"/>
      <c r="B76" s="170" t="s">
        <v>286</v>
      </c>
      <c r="C76" s="170" t="s">
        <v>287</v>
      </c>
      <c r="D76" s="170">
        <v>2013</v>
      </c>
      <c r="E76" s="60"/>
      <c r="F76" s="53">
        <v>2526</v>
      </c>
      <c r="G76" s="53"/>
      <c r="H76" s="53"/>
      <c r="I76" s="53"/>
      <c r="J76" s="53"/>
      <c r="K76" s="53"/>
      <c r="L76" s="53"/>
      <c r="M76" s="53"/>
      <c r="N76" s="53"/>
      <c r="O76" s="54"/>
    </row>
    <row r="77" spans="1:34" ht="15" customHeight="1" x14ac:dyDescent="0.25">
      <c r="A77" s="7"/>
      <c r="B77" s="170" t="s">
        <v>288</v>
      </c>
      <c r="C77" s="170" t="s">
        <v>289</v>
      </c>
      <c r="D77" s="170">
        <v>2013</v>
      </c>
      <c r="E77" s="60"/>
      <c r="F77" s="53">
        <v>3001</v>
      </c>
      <c r="G77" s="53"/>
      <c r="H77" s="53"/>
      <c r="I77" s="53"/>
      <c r="J77" s="53"/>
      <c r="K77" s="53"/>
      <c r="L77" s="53"/>
      <c r="M77" s="53"/>
      <c r="N77" s="53"/>
      <c r="O77" s="54"/>
    </row>
    <row r="78" spans="1:34" ht="15" customHeight="1" x14ac:dyDescent="0.25">
      <c r="A78" s="7"/>
      <c r="B78" s="41" t="s">
        <v>290</v>
      </c>
      <c r="C78" s="41"/>
      <c r="D78" s="41"/>
      <c r="E78" s="60"/>
      <c r="F78" s="53">
        <v>26519</v>
      </c>
      <c r="G78" s="53"/>
      <c r="H78" s="53"/>
      <c r="I78" s="53"/>
      <c r="J78" s="53"/>
      <c r="K78" s="53"/>
      <c r="L78" s="53"/>
      <c r="M78" s="53"/>
      <c r="N78" s="53"/>
      <c r="O78" s="54"/>
    </row>
    <row r="79" spans="1:34" ht="15" customHeight="1" x14ac:dyDescent="0.25">
      <c r="B79" s="47" t="s">
        <v>321</v>
      </c>
      <c r="C79" s="47"/>
      <c r="D79" s="47"/>
      <c r="E79" s="60"/>
      <c r="F79" s="53">
        <v>6664</v>
      </c>
      <c r="G79" s="53"/>
      <c r="H79" s="53"/>
      <c r="I79" s="53"/>
      <c r="J79" s="53"/>
      <c r="K79" s="53"/>
      <c r="L79" s="53"/>
      <c r="M79" s="53"/>
      <c r="N79" s="53"/>
      <c r="O79" s="54"/>
    </row>
    <row r="80" spans="1:34" ht="15" customHeight="1" x14ac:dyDescent="0.25">
      <c r="B80" s="41" t="s">
        <v>291</v>
      </c>
      <c r="C80" s="41"/>
      <c r="D80" s="41"/>
      <c r="E80" s="60"/>
      <c r="F80" s="53"/>
      <c r="G80" s="53"/>
      <c r="H80" s="53"/>
      <c r="I80" s="53"/>
      <c r="J80" s="53"/>
      <c r="K80" s="53"/>
      <c r="L80" s="53"/>
      <c r="M80" s="53"/>
      <c r="N80" s="53"/>
      <c r="O80" s="54"/>
    </row>
    <row r="81" spans="2:15" ht="15" customHeight="1" x14ac:dyDescent="0.25">
      <c r="B81" s="170" t="s">
        <v>296</v>
      </c>
      <c r="C81" s="170" t="s">
        <v>292</v>
      </c>
      <c r="D81" s="170">
        <v>2013</v>
      </c>
      <c r="E81" s="60"/>
      <c r="F81" s="53">
        <v>32090</v>
      </c>
      <c r="G81" s="53"/>
      <c r="H81" s="53"/>
      <c r="I81" s="53"/>
      <c r="J81" s="53"/>
      <c r="K81" s="53"/>
      <c r="L81" s="53"/>
      <c r="M81" s="53"/>
      <c r="N81" s="53"/>
      <c r="O81" s="54"/>
    </row>
    <row r="82" spans="2:15" ht="15" customHeight="1" x14ac:dyDescent="0.25">
      <c r="B82" s="170" t="s">
        <v>295</v>
      </c>
      <c r="C82" s="170" t="s">
        <v>293</v>
      </c>
      <c r="D82" s="170">
        <v>2013</v>
      </c>
      <c r="E82" s="60"/>
      <c r="F82" s="53">
        <v>29242</v>
      </c>
      <c r="G82" s="53"/>
      <c r="H82" s="53"/>
      <c r="I82" s="53"/>
      <c r="J82" s="53"/>
      <c r="K82" s="53"/>
      <c r="L82" s="53"/>
      <c r="M82" s="53"/>
      <c r="N82" s="53"/>
      <c r="O82" s="54"/>
    </row>
    <row r="83" spans="2:15" ht="15" customHeight="1" x14ac:dyDescent="0.25">
      <c r="B83" s="41" t="s">
        <v>294</v>
      </c>
      <c r="C83" s="41"/>
      <c r="D83" s="41"/>
      <c r="E83" s="60"/>
      <c r="F83" s="53">
        <v>61332</v>
      </c>
      <c r="G83" s="53"/>
      <c r="H83" s="53"/>
      <c r="I83" s="53"/>
      <c r="J83" s="53"/>
      <c r="K83" s="53"/>
      <c r="L83" s="53"/>
      <c r="M83" s="53"/>
      <c r="N83" s="53"/>
      <c r="O83" s="54"/>
    </row>
    <row r="84" spans="2:15" ht="15" customHeight="1" x14ac:dyDescent="0.25">
      <c r="B84" s="170" t="s">
        <v>298</v>
      </c>
      <c r="C84" s="41"/>
      <c r="D84" s="41"/>
      <c r="E84" s="60"/>
      <c r="F84" s="53">
        <v>25901</v>
      </c>
      <c r="G84" s="53"/>
      <c r="H84" s="53"/>
      <c r="I84" s="53"/>
      <c r="J84" s="53"/>
      <c r="K84" s="53"/>
      <c r="L84" s="53"/>
      <c r="M84" s="53"/>
      <c r="N84" s="53"/>
      <c r="O84" s="54"/>
    </row>
    <row r="85" spans="2:15" ht="15" customHeight="1" x14ac:dyDescent="0.25">
      <c r="B85" s="170" t="s">
        <v>297</v>
      </c>
      <c r="C85" s="41"/>
      <c r="D85" s="41"/>
      <c r="E85" s="60"/>
      <c r="F85" s="53">
        <f>N8-N7</f>
        <v>35431.279999999999</v>
      </c>
      <c r="G85" s="53"/>
      <c r="H85" s="53"/>
      <c r="I85" s="53"/>
      <c r="J85" s="53"/>
      <c r="K85" s="53"/>
      <c r="L85" s="53"/>
      <c r="M85" s="53"/>
      <c r="N85" s="53"/>
      <c r="O85" s="54"/>
    </row>
    <row r="86" spans="2:15" ht="15" customHeight="1" x14ac:dyDescent="0.25">
      <c r="B86" s="41"/>
      <c r="C86" s="41"/>
      <c r="D86" s="41"/>
      <c r="E86" s="60"/>
      <c r="F86" s="53"/>
      <c r="G86" s="53"/>
      <c r="H86" s="53"/>
      <c r="I86" s="53"/>
      <c r="J86" s="53"/>
      <c r="K86" s="53"/>
      <c r="L86" s="53"/>
      <c r="M86" s="53"/>
      <c r="N86" s="53"/>
      <c r="O86" s="54"/>
    </row>
    <row r="87" spans="2:15" ht="15" customHeight="1" x14ac:dyDescent="0.25">
      <c r="B87" s="41"/>
      <c r="C87" s="41"/>
      <c r="D87" s="41"/>
      <c r="E87" s="60"/>
      <c r="F87" s="53"/>
      <c r="G87" s="53"/>
      <c r="H87" s="53"/>
      <c r="I87" s="53"/>
      <c r="J87" s="53"/>
      <c r="K87" s="53"/>
      <c r="L87" s="53"/>
      <c r="M87" s="53"/>
      <c r="N87" s="53"/>
      <c r="O87" s="54"/>
    </row>
    <row r="88" spans="2:15" ht="15" customHeight="1" x14ac:dyDescent="0.25">
      <c r="B88" s="41"/>
      <c r="C88" s="41"/>
      <c r="D88" s="41"/>
      <c r="E88" s="60"/>
      <c r="F88" s="53"/>
      <c r="G88" s="53"/>
      <c r="H88" s="53"/>
      <c r="I88" s="53"/>
      <c r="J88" s="53"/>
      <c r="K88" s="53"/>
      <c r="L88" s="53"/>
      <c r="M88" s="53"/>
      <c r="N88" s="53"/>
      <c r="O88" s="54"/>
    </row>
    <row r="89" spans="2:15" ht="15" customHeight="1" x14ac:dyDescent="0.25">
      <c r="B89" s="41"/>
      <c r="C89" s="41"/>
      <c r="D89" s="41"/>
      <c r="E89" s="60"/>
      <c r="F89" s="53"/>
      <c r="G89" s="53"/>
      <c r="H89" s="53"/>
      <c r="I89" s="53"/>
      <c r="J89" s="53"/>
      <c r="K89" s="53"/>
      <c r="L89" s="53"/>
      <c r="M89" s="53"/>
      <c r="N89" s="53"/>
      <c r="O89" s="54"/>
    </row>
    <row r="90" spans="2:15" ht="15" customHeight="1" x14ac:dyDescent="0.25">
      <c r="B90" s="41"/>
      <c r="C90" s="41"/>
      <c r="D90" s="41"/>
      <c r="E90" s="60"/>
      <c r="F90" s="53"/>
      <c r="G90" s="53"/>
      <c r="H90" s="53"/>
      <c r="I90" s="53"/>
      <c r="J90" s="53"/>
      <c r="K90" s="53"/>
      <c r="L90" s="53"/>
      <c r="M90" s="53"/>
      <c r="N90" s="53"/>
      <c r="O90" s="54"/>
    </row>
    <row r="91" spans="2:15" ht="15" customHeight="1" x14ac:dyDescent="0.25">
      <c r="B91" s="41"/>
      <c r="C91" s="41"/>
      <c r="D91" s="41"/>
      <c r="E91" s="60"/>
      <c r="F91" s="53"/>
      <c r="G91" s="53"/>
      <c r="H91" s="53"/>
      <c r="I91" s="53"/>
      <c r="J91" s="53"/>
      <c r="K91" s="53"/>
      <c r="L91" s="53"/>
      <c r="M91" s="53"/>
      <c r="N91" s="53"/>
      <c r="O91" s="54"/>
    </row>
    <row r="92" spans="2:15" ht="15" customHeight="1" x14ac:dyDescent="0.25">
      <c r="B92" s="41"/>
      <c r="C92" s="41"/>
      <c r="D92" s="41"/>
      <c r="E92" s="60"/>
      <c r="F92" s="53"/>
      <c r="G92" s="53"/>
      <c r="H92" s="53"/>
      <c r="I92" s="53"/>
      <c r="J92" s="53"/>
      <c r="K92" s="53"/>
      <c r="L92" s="53"/>
      <c r="M92" s="53"/>
      <c r="N92" s="53"/>
      <c r="O92" s="54"/>
    </row>
    <row r="93" spans="2:15" ht="15" customHeight="1" x14ac:dyDescent="0.25">
      <c r="B93" s="41"/>
      <c r="C93" s="41"/>
      <c r="D93" s="41"/>
      <c r="E93" s="60"/>
      <c r="F93" s="53"/>
      <c r="G93" s="53"/>
      <c r="H93" s="53"/>
      <c r="I93" s="53"/>
      <c r="J93" s="53"/>
      <c r="K93" s="53"/>
      <c r="L93" s="53"/>
      <c r="M93" s="53"/>
      <c r="N93" s="53"/>
      <c r="O93" s="54"/>
    </row>
    <row r="94" spans="2:15" ht="15" customHeight="1" x14ac:dyDescent="0.25">
      <c r="B94" s="41"/>
      <c r="C94" s="41"/>
      <c r="D94" s="41"/>
      <c r="E94" s="60"/>
      <c r="F94" s="53"/>
      <c r="G94" s="53"/>
      <c r="H94" s="53"/>
      <c r="I94" s="53"/>
      <c r="J94" s="53"/>
      <c r="K94" s="53"/>
      <c r="L94" s="53"/>
      <c r="M94" s="53"/>
      <c r="N94" s="53"/>
      <c r="O94" s="54"/>
    </row>
    <row r="95" spans="2:15" ht="15" customHeight="1" x14ac:dyDescent="0.25">
      <c r="B95" s="41"/>
      <c r="C95" s="41"/>
      <c r="D95" s="41"/>
      <c r="E95" s="60"/>
      <c r="F95" s="53"/>
      <c r="G95" s="53"/>
      <c r="H95" s="53"/>
      <c r="I95" s="53"/>
      <c r="J95" s="53"/>
      <c r="K95" s="53"/>
      <c r="L95" s="53"/>
      <c r="M95" s="53"/>
      <c r="N95" s="53"/>
      <c r="O95" s="54"/>
    </row>
    <row r="96" spans="2:15" ht="15" customHeight="1" x14ac:dyDescent="0.25">
      <c r="B96" s="42"/>
      <c r="C96" s="42"/>
      <c r="D96" s="42"/>
      <c r="E96" s="61"/>
      <c r="F96" s="56"/>
      <c r="G96" s="56"/>
      <c r="H96" s="56"/>
      <c r="I96" s="56"/>
      <c r="J96" s="56"/>
      <c r="K96" s="56"/>
      <c r="L96" s="56"/>
      <c r="M96" s="56"/>
      <c r="N96" s="56"/>
      <c r="O96" s="57"/>
    </row>
    <row r="97" spans="2:34" ht="15" customHeight="1" x14ac:dyDescent="0.25"/>
    <row r="98" spans="2:34" ht="15" customHeight="1" x14ac:dyDescent="0.25">
      <c r="B98" s="11"/>
      <c r="C98" s="11"/>
      <c r="D98" s="11"/>
      <c r="E98" s="10" t="s">
        <v>4</v>
      </c>
      <c r="F98" s="216" t="str">
        <f>C3</f>
        <v>Tacoma Power</v>
      </c>
      <c r="G98" s="217"/>
      <c r="H98" s="218"/>
    </row>
    <row r="99" spans="2:34" ht="15" customHeight="1" x14ac:dyDescent="0.25">
      <c r="E99" s="10" t="s">
        <v>50</v>
      </c>
      <c r="F99" s="219">
        <v>2014</v>
      </c>
      <c r="G99" s="220"/>
      <c r="H99" s="221"/>
    </row>
    <row r="100" spans="2:34" ht="15" customHeight="1" x14ac:dyDescent="0.25">
      <c r="B100" s="11" t="s">
        <v>78</v>
      </c>
      <c r="C100" s="11"/>
      <c r="D100" s="11"/>
      <c r="E100" s="10"/>
      <c r="F100" s="73"/>
    </row>
    <row r="101" spans="2:34" ht="15" customHeight="1" x14ac:dyDescent="0.25">
      <c r="B101" s="28"/>
      <c r="C101" s="28"/>
      <c r="D101" s="28"/>
      <c r="E101" s="28"/>
      <c r="F101" s="28"/>
      <c r="G101" s="28"/>
      <c r="H101" s="28"/>
      <c r="I101" s="28"/>
      <c r="J101" s="28"/>
      <c r="K101" s="28"/>
      <c r="L101" s="28"/>
      <c r="M101" s="28"/>
    </row>
    <row r="102" spans="2:34" ht="15" customHeight="1" x14ac:dyDescent="0.25">
      <c r="B102" s="28"/>
      <c r="C102" s="28"/>
      <c r="D102" s="28"/>
      <c r="E102" s="28"/>
      <c r="F102" s="28"/>
      <c r="G102" s="28"/>
      <c r="H102" s="28"/>
      <c r="I102" s="28"/>
      <c r="J102" s="28"/>
      <c r="K102" s="28"/>
      <c r="L102" s="28"/>
      <c r="M102" s="28"/>
    </row>
    <row r="103" spans="2:34" s="7" customFormat="1" ht="15" customHeight="1" x14ac:dyDescent="0.25">
      <c r="B103" s="28"/>
      <c r="C103" s="28"/>
      <c r="D103" s="28"/>
      <c r="E103" s="28"/>
      <c r="F103" s="28"/>
      <c r="G103" s="28"/>
      <c r="H103" s="28"/>
      <c r="I103" s="28"/>
      <c r="J103" s="28"/>
      <c r="K103" s="28"/>
      <c r="L103" s="28"/>
      <c r="M103" s="28"/>
      <c r="AH103" s="1"/>
    </row>
    <row r="104" spans="2:34" s="7" customFormat="1" ht="15" customHeight="1" x14ac:dyDescent="0.25">
      <c r="B104" s="28"/>
      <c r="C104" s="28"/>
      <c r="D104" s="28"/>
      <c r="E104" s="28"/>
      <c r="F104" s="28"/>
      <c r="G104" s="28"/>
      <c r="H104" s="28"/>
      <c r="I104" s="28"/>
      <c r="J104" s="28"/>
      <c r="K104" s="28"/>
      <c r="L104" s="28"/>
      <c r="M104" s="28"/>
    </row>
    <row r="105" spans="2:34" s="7" customFormat="1" x14ac:dyDescent="0.25">
      <c r="B105" s="28"/>
      <c r="C105" s="28"/>
      <c r="D105" s="28"/>
      <c r="E105" s="28"/>
      <c r="F105" s="28"/>
      <c r="G105" s="28"/>
      <c r="H105" s="28"/>
      <c r="I105" s="28"/>
      <c r="J105" s="28"/>
      <c r="K105" s="28"/>
      <c r="L105" s="28"/>
      <c r="M105" s="28"/>
    </row>
    <row r="106" spans="2:34" s="7" customFormat="1" x14ac:dyDescent="0.25">
      <c r="B106" s="28"/>
      <c r="C106" s="28"/>
      <c r="D106" s="28"/>
      <c r="E106" s="28"/>
      <c r="F106" s="28"/>
      <c r="G106" s="28"/>
      <c r="H106" s="28"/>
      <c r="I106" s="28"/>
      <c r="J106" s="28"/>
      <c r="K106" s="28"/>
      <c r="L106" s="28"/>
      <c r="M106" s="28"/>
    </row>
    <row r="107" spans="2:34" s="7" customFormat="1" x14ac:dyDescent="0.25">
      <c r="B107" s="28"/>
      <c r="C107" s="28"/>
      <c r="D107" s="28"/>
      <c r="E107" s="28"/>
      <c r="F107" s="28"/>
      <c r="G107" s="28"/>
      <c r="H107" s="28"/>
      <c r="I107" s="28"/>
      <c r="J107" s="28"/>
      <c r="K107" s="28"/>
      <c r="L107" s="28"/>
      <c r="M107" s="28"/>
    </row>
    <row r="108" spans="2:34" x14ac:dyDescent="0.25">
      <c r="B108" s="28"/>
      <c r="C108" s="28"/>
      <c r="D108" s="28"/>
      <c r="E108" s="28"/>
      <c r="F108" s="28"/>
      <c r="G108" s="28"/>
      <c r="H108" s="28"/>
      <c r="I108" s="28"/>
      <c r="J108" s="28"/>
      <c r="K108" s="28"/>
      <c r="L108" s="28"/>
      <c r="M108" s="28"/>
      <c r="AH108" s="7"/>
    </row>
    <row r="109" spans="2:34" x14ac:dyDescent="0.25">
      <c r="B109" s="28"/>
      <c r="C109" s="28"/>
      <c r="D109" s="28"/>
      <c r="E109" s="28"/>
      <c r="F109" s="28"/>
      <c r="G109" s="28"/>
      <c r="H109" s="28"/>
      <c r="I109" s="28"/>
      <c r="J109" s="28"/>
      <c r="K109" s="28"/>
      <c r="L109" s="28"/>
      <c r="M109" s="28"/>
    </row>
    <row r="110" spans="2:34" x14ac:dyDescent="0.25">
      <c r="B110" s="28"/>
      <c r="C110" s="28"/>
      <c r="D110" s="28"/>
      <c r="E110" s="28"/>
      <c r="F110" s="28"/>
      <c r="G110" s="28"/>
      <c r="H110" s="28"/>
      <c r="I110" s="28"/>
      <c r="J110" s="28"/>
      <c r="K110" s="28"/>
      <c r="L110" s="28"/>
      <c r="M110" s="28"/>
    </row>
    <row r="111" spans="2:34" x14ac:dyDescent="0.25">
      <c r="B111" s="28"/>
      <c r="C111" s="28"/>
      <c r="D111" s="28"/>
      <c r="E111" s="28"/>
      <c r="F111" s="28"/>
      <c r="G111" s="28"/>
      <c r="H111" s="28"/>
      <c r="I111" s="28"/>
      <c r="J111" s="28"/>
      <c r="K111" s="28"/>
      <c r="L111" s="28"/>
      <c r="M111" s="28"/>
    </row>
    <row r="112" spans="2:34" x14ac:dyDescent="0.25">
      <c r="B112" s="28"/>
      <c r="C112" s="28"/>
      <c r="D112" s="28"/>
      <c r="E112" s="28"/>
      <c r="F112" s="28"/>
      <c r="G112" s="28"/>
      <c r="H112" s="28"/>
      <c r="I112" s="28"/>
      <c r="J112" s="28"/>
      <c r="K112" s="28"/>
      <c r="L112" s="28"/>
      <c r="M112" s="28"/>
    </row>
    <row r="113" spans="2:13" x14ac:dyDescent="0.25">
      <c r="B113" s="28"/>
      <c r="C113" s="28"/>
      <c r="D113" s="28"/>
      <c r="E113" s="28"/>
      <c r="F113" s="28"/>
      <c r="G113" s="28"/>
      <c r="H113" s="28"/>
      <c r="I113" s="28"/>
      <c r="J113" s="28"/>
      <c r="K113" s="28"/>
      <c r="L113" s="28"/>
      <c r="M113" s="28"/>
    </row>
    <row r="114" spans="2:13" x14ac:dyDescent="0.25">
      <c r="B114" s="28"/>
      <c r="C114" s="28"/>
      <c r="D114" s="28"/>
      <c r="E114" s="28"/>
      <c r="F114" s="28"/>
      <c r="G114" s="28"/>
      <c r="H114" s="28"/>
      <c r="I114" s="28"/>
      <c r="J114" s="28"/>
      <c r="K114" s="28"/>
      <c r="L114" s="28"/>
      <c r="M114" s="28"/>
    </row>
    <row r="115" spans="2:13" x14ac:dyDescent="0.25">
      <c r="B115" s="2" t="s">
        <v>79</v>
      </c>
      <c r="C115" s="28"/>
      <c r="D115" s="28"/>
      <c r="E115" s="28"/>
      <c r="F115" s="28"/>
      <c r="G115" s="28"/>
      <c r="H115" s="28"/>
      <c r="I115" s="28"/>
      <c r="J115" s="28"/>
      <c r="K115" s="28"/>
      <c r="L115" s="28"/>
      <c r="M115" s="28"/>
    </row>
    <row r="116" spans="2:13" x14ac:dyDescent="0.25">
      <c r="B116" s="28"/>
      <c r="C116" s="28"/>
      <c r="D116" s="28"/>
      <c r="E116" s="28"/>
      <c r="F116" s="28"/>
      <c r="G116" s="28"/>
      <c r="H116" s="28"/>
      <c r="I116" s="28"/>
      <c r="J116" s="28"/>
      <c r="K116" s="28"/>
      <c r="L116" s="28"/>
      <c r="M116" s="28"/>
    </row>
    <row r="117" spans="2:13" x14ac:dyDescent="0.25">
      <c r="B117" s="28"/>
      <c r="C117" s="28"/>
      <c r="D117" s="28"/>
      <c r="E117" s="28"/>
      <c r="F117" s="28"/>
      <c r="G117" s="28"/>
      <c r="H117" s="28"/>
      <c r="I117" s="28"/>
      <c r="J117" s="28"/>
      <c r="K117" s="28"/>
      <c r="L117" s="28"/>
      <c r="M117" s="28"/>
    </row>
    <row r="118" spans="2:13" x14ac:dyDescent="0.25">
      <c r="B118" s="28"/>
      <c r="C118" s="28"/>
      <c r="D118" s="28"/>
      <c r="E118" s="28"/>
      <c r="F118" s="28"/>
      <c r="G118" s="28"/>
      <c r="H118" s="28"/>
      <c r="I118" s="28"/>
      <c r="J118" s="28"/>
      <c r="K118" s="28"/>
      <c r="L118" s="28"/>
      <c r="M118" s="28"/>
    </row>
    <row r="119" spans="2:13" x14ac:dyDescent="0.25">
      <c r="B119" s="28"/>
      <c r="C119" s="28"/>
      <c r="D119" s="28"/>
      <c r="E119" s="28"/>
      <c r="F119" s="28"/>
      <c r="G119" s="28"/>
      <c r="H119" s="28"/>
      <c r="I119" s="28"/>
      <c r="J119" s="28"/>
      <c r="K119" s="28"/>
      <c r="L119" s="28"/>
      <c r="M119" s="28"/>
    </row>
    <row r="120" spans="2:13" x14ac:dyDescent="0.25">
      <c r="B120" s="28"/>
      <c r="C120" s="28"/>
      <c r="D120" s="28"/>
      <c r="E120" s="28"/>
      <c r="F120" s="28"/>
      <c r="G120" s="28"/>
      <c r="H120" s="28"/>
      <c r="I120" s="28"/>
      <c r="J120" s="28"/>
      <c r="K120" s="28"/>
      <c r="L120" s="28"/>
      <c r="M120" s="28"/>
    </row>
    <row r="121" spans="2:13" x14ac:dyDescent="0.25">
      <c r="B121" s="28"/>
      <c r="C121" s="28"/>
      <c r="D121" s="28"/>
      <c r="E121" s="28"/>
      <c r="F121" s="28"/>
      <c r="G121" s="28"/>
      <c r="H121" s="28"/>
      <c r="I121" s="28"/>
      <c r="J121" s="28"/>
      <c r="K121" s="28"/>
      <c r="L121" s="28"/>
      <c r="M121" s="28"/>
    </row>
    <row r="122" spans="2:13" x14ac:dyDescent="0.25">
      <c r="B122" s="28"/>
      <c r="C122" s="28"/>
      <c r="D122" s="28"/>
      <c r="E122" s="28"/>
      <c r="F122" s="28"/>
      <c r="G122" s="28"/>
      <c r="H122" s="28"/>
      <c r="I122" s="28"/>
      <c r="J122" s="28"/>
      <c r="K122" s="28"/>
      <c r="L122" s="28"/>
      <c r="M122" s="28"/>
    </row>
    <row r="123" spans="2:13" x14ac:dyDescent="0.25">
      <c r="B123" s="28"/>
      <c r="C123" s="28"/>
      <c r="D123" s="28"/>
      <c r="E123" s="28"/>
      <c r="F123" s="28"/>
      <c r="G123" s="28"/>
      <c r="H123" s="28"/>
      <c r="I123" s="28"/>
      <c r="J123" s="28"/>
      <c r="K123" s="28"/>
      <c r="L123" s="28"/>
      <c r="M123" s="28"/>
    </row>
    <row r="124" spans="2:13" x14ac:dyDescent="0.25">
      <c r="B124" s="28"/>
      <c r="C124" s="28"/>
      <c r="D124" s="28"/>
      <c r="E124" s="28"/>
      <c r="F124" s="28"/>
      <c r="G124" s="28"/>
      <c r="H124" s="28"/>
      <c r="I124" s="28"/>
      <c r="J124" s="28"/>
      <c r="K124" s="28"/>
      <c r="L124" s="28"/>
      <c r="M124" s="28"/>
    </row>
    <row r="125" spans="2:13" x14ac:dyDescent="0.25">
      <c r="B125" s="28"/>
      <c r="C125" s="28"/>
      <c r="D125" s="28"/>
      <c r="E125" s="28"/>
      <c r="F125" s="28"/>
      <c r="G125" s="28"/>
      <c r="H125" s="28"/>
      <c r="I125" s="28"/>
      <c r="J125" s="28"/>
      <c r="K125" s="28"/>
      <c r="L125" s="28"/>
      <c r="M125" s="28"/>
    </row>
    <row r="126" spans="2:13" x14ac:dyDescent="0.25">
      <c r="B126" s="28"/>
      <c r="C126" s="28"/>
      <c r="D126" s="28"/>
      <c r="E126" s="28"/>
      <c r="F126" s="28"/>
      <c r="G126" s="28"/>
      <c r="H126" s="28"/>
      <c r="I126" s="28"/>
      <c r="J126" s="28"/>
      <c r="K126" s="28"/>
      <c r="L126" s="28"/>
      <c r="M126" s="28"/>
    </row>
    <row r="127" spans="2:13" x14ac:dyDescent="0.25">
      <c r="B127" s="28"/>
      <c r="C127" s="28"/>
      <c r="D127" s="28"/>
      <c r="E127" s="28"/>
      <c r="F127" s="28"/>
      <c r="G127" s="28"/>
      <c r="H127" s="28"/>
      <c r="I127" s="28"/>
      <c r="J127" s="28"/>
      <c r="K127" s="28"/>
      <c r="L127" s="28"/>
      <c r="M127" s="28"/>
    </row>
    <row r="128" spans="2:13" x14ac:dyDescent="0.25">
      <c r="B128" s="28"/>
      <c r="C128" s="28"/>
      <c r="D128" s="28"/>
      <c r="E128" s="28"/>
      <c r="F128" s="28"/>
      <c r="G128" s="28"/>
      <c r="H128" s="28"/>
      <c r="I128" s="28"/>
      <c r="J128" s="28"/>
      <c r="K128" s="28"/>
      <c r="L128" s="28"/>
      <c r="M128" s="28"/>
    </row>
    <row r="129" spans="2:13" x14ac:dyDescent="0.25">
      <c r="B129" s="28"/>
      <c r="C129" s="28"/>
      <c r="D129" s="28"/>
      <c r="E129" s="28"/>
      <c r="F129" s="28"/>
      <c r="G129" s="28"/>
      <c r="H129" s="28"/>
      <c r="I129" s="28"/>
      <c r="J129" s="28"/>
      <c r="K129" s="28"/>
      <c r="L129" s="28"/>
      <c r="M129" s="28"/>
    </row>
    <row r="130" spans="2:13" x14ac:dyDescent="0.25">
      <c r="B130" s="28"/>
      <c r="C130" s="28"/>
      <c r="D130" s="28"/>
      <c r="E130" s="28"/>
      <c r="F130" s="28"/>
      <c r="G130" s="28"/>
      <c r="H130" s="28"/>
      <c r="I130" s="28"/>
      <c r="J130" s="28"/>
      <c r="K130" s="28"/>
      <c r="L130" s="28"/>
      <c r="M130" s="28"/>
    </row>
    <row r="131" spans="2:13" x14ac:dyDescent="0.25">
      <c r="B131" s="28"/>
      <c r="C131" s="28"/>
      <c r="D131" s="28"/>
      <c r="E131" s="28"/>
      <c r="F131" s="28"/>
      <c r="G131" s="28"/>
      <c r="H131" s="28"/>
      <c r="I131" s="28"/>
      <c r="J131" s="28"/>
      <c r="K131" s="28"/>
      <c r="L131" s="28"/>
      <c r="M131" s="28"/>
    </row>
    <row r="132" spans="2:13" x14ac:dyDescent="0.25">
      <c r="B132" s="28"/>
      <c r="C132" s="28"/>
      <c r="D132" s="28"/>
      <c r="E132" s="28"/>
      <c r="F132" s="28"/>
      <c r="G132" s="28"/>
      <c r="H132" s="28"/>
      <c r="I132" s="28"/>
      <c r="J132" s="28"/>
      <c r="K132" s="28"/>
      <c r="L132" s="28"/>
      <c r="M132" s="28"/>
    </row>
    <row r="133" spans="2:13" x14ac:dyDescent="0.25">
      <c r="B133" s="28"/>
      <c r="C133" s="28"/>
      <c r="D133" s="28"/>
      <c r="E133" s="28"/>
      <c r="F133" s="28"/>
      <c r="G133" s="28"/>
      <c r="H133" s="28"/>
      <c r="I133" s="28"/>
      <c r="J133" s="28"/>
      <c r="K133" s="28"/>
      <c r="L133" s="28"/>
      <c r="M133" s="28"/>
    </row>
    <row r="134" spans="2:13" x14ac:dyDescent="0.25">
      <c r="B134" s="28"/>
      <c r="C134" s="28"/>
      <c r="D134" s="28"/>
      <c r="E134" s="28"/>
      <c r="F134" s="28"/>
      <c r="G134" s="28"/>
      <c r="H134" s="28"/>
      <c r="I134" s="28"/>
      <c r="J134" s="28"/>
      <c r="K134" s="28"/>
      <c r="L134" s="28"/>
      <c r="M134" s="28"/>
    </row>
    <row r="135" spans="2:13" x14ac:dyDescent="0.25">
      <c r="B135" s="28"/>
      <c r="C135" s="28"/>
      <c r="D135" s="28"/>
      <c r="E135" s="28"/>
      <c r="F135" s="28"/>
      <c r="G135" s="28"/>
      <c r="H135" s="28"/>
      <c r="I135" s="28"/>
      <c r="J135" s="28"/>
      <c r="K135" s="28"/>
      <c r="L135" s="28"/>
      <c r="M135" s="28"/>
    </row>
    <row r="136" spans="2:13" x14ac:dyDescent="0.25">
      <c r="B136" s="28"/>
      <c r="C136" s="28"/>
      <c r="D136" s="28"/>
      <c r="E136" s="28"/>
      <c r="F136" s="28"/>
      <c r="G136" s="28"/>
      <c r="H136" s="28"/>
      <c r="I136" s="28"/>
      <c r="J136" s="28"/>
      <c r="K136" s="28"/>
      <c r="L136" s="28"/>
      <c r="M136" s="28"/>
    </row>
  </sheetData>
  <mergeCells count="16">
    <mergeCell ref="I14:M14"/>
    <mergeCell ref="F66:H66"/>
    <mergeCell ref="F67:H67"/>
    <mergeCell ref="F98:H98"/>
    <mergeCell ref="F99:H99"/>
    <mergeCell ref="F36:H36"/>
    <mergeCell ref="F37:H37"/>
    <mergeCell ref="B39:G39"/>
    <mergeCell ref="C43:D43"/>
    <mergeCell ref="I2:N2"/>
    <mergeCell ref="G10:N10"/>
    <mergeCell ref="C3:E3"/>
    <mergeCell ref="C4:E4"/>
    <mergeCell ref="C5:E5"/>
    <mergeCell ref="C6:E6"/>
    <mergeCell ref="C7:E7"/>
  </mergeCells>
  <hyperlinks>
    <hyperlink ref="C7" r:id="rId1"/>
  </hyperlinks>
  <pageMargins left="0.7" right="0.7" top="0.75" bottom="0.75" header="0.3" footer="0.3"/>
  <pageSetup paperSize="3" fitToHeight="0" orientation="landscape" r:id="rId2"/>
  <rowBreaks count="3" manualBreakCount="3">
    <brk id="34" max="14" man="1"/>
    <brk id="64" max="14" man="1"/>
    <brk id="97" max="14" man="1"/>
  </rowBreaks>
  <drawing r:id="rId3"/>
  <legacyDrawing r:id="rId4"/>
  <mc:AlternateContent xmlns:mc="http://schemas.openxmlformats.org/markup-compatibility/2006">
    <mc:Choice Requires="x14">
      <controls>
        <mc:AlternateContent xmlns:mc="http://schemas.openxmlformats.org/markup-compatibility/2006">
          <mc:Choice Requires="x14">
            <control shapeId="5448" r:id="rId5" name="Check Box 328">
              <controlPr defaultSize="0" autoFill="0" autoLine="0" autoPict="0">
                <anchor moveWithCells="1" sizeWithCells="1">
                  <from>
                    <xdr:col>2</xdr:col>
                    <xdr:colOff>22860</xdr:colOff>
                    <xdr:row>8</xdr:row>
                    <xdr:rowOff>15240</xdr:rowOff>
                  </from>
                  <to>
                    <xdr:col>4</xdr:col>
                    <xdr:colOff>571500</xdr:colOff>
                    <xdr:row>9</xdr:row>
                    <xdr:rowOff>22860</xdr:rowOff>
                  </to>
                </anchor>
              </controlPr>
            </control>
          </mc:Choice>
        </mc:AlternateContent>
        <mc:AlternateContent xmlns:mc="http://schemas.openxmlformats.org/markup-compatibility/2006">
          <mc:Choice Requires="x14">
            <control shapeId="5449" r:id="rId6" name="Check Box 329">
              <controlPr defaultSize="0" autoFill="0" autoLine="0" autoPict="0">
                <anchor moveWithCells="1" sizeWithCells="1">
                  <from>
                    <xdr:col>2</xdr:col>
                    <xdr:colOff>22860</xdr:colOff>
                    <xdr:row>9</xdr:row>
                    <xdr:rowOff>30480</xdr:rowOff>
                  </from>
                  <to>
                    <xdr:col>5</xdr:col>
                    <xdr:colOff>0</xdr:colOff>
                    <xdr:row>10</xdr:row>
                    <xdr:rowOff>30480</xdr:rowOff>
                  </to>
                </anchor>
              </controlPr>
            </control>
          </mc:Choice>
        </mc:AlternateContent>
        <mc:AlternateContent xmlns:mc="http://schemas.openxmlformats.org/markup-compatibility/2006">
          <mc:Choice Requires="x14">
            <control shapeId="5450" r:id="rId7" name="Check Box 330">
              <controlPr defaultSize="0" autoFill="0" autoLine="0" autoPict="0">
                <anchor moveWithCells="1" sizeWithCells="1">
                  <from>
                    <xdr:col>2</xdr:col>
                    <xdr:colOff>22860</xdr:colOff>
                    <xdr:row>10</xdr:row>
                    <xdr:rowOff>68580</xdr:rowOff>
                  </from>
                  <to>
                    <xdr:col>5</xdr:col>
                    <xdr:colOff>114300</xdr:colOff>
                    <xdr:row>11</xdr:row>
                    <xdr:rowOff>15240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F2"/>
  <sheetViews>
    <sheetView workbookViewId="0">
      <selection activeCell="B8" sqref="B8"/>
    </sheetView>
  </sheetViews>
  <sheetFormatPr defaultRowHeight="14.4" x14ac:dyDescent="0.3"/>
  <cols>
    <col min="1" max="1" width="36.21875" bestFit="1" customWidth="1"/>
  </cols>
  <sheetData>
    <row r="1" spans="1:84" x14ac:dyDescent="0.25">
      <c r="B1" t="s">
        <v>88</v>
      </c>
      <c r="C1" t="s">
        <v>89</v>
      </c>
      <c r="D1" t="s">
        <v>90</v>
      </c>
      <c r="E1" t="s">
        <v>91</v>
      </c>
      <c r="F1" t="s">
        <v>92</v>
      </c>
      <c r="G1" t="s">
        <v>93</v>
      </c>
      <c r="H1" t="s">
        <v>94</v>
      </c>
      <c r="I1" t="s">
        <v>95</v>
      </c>
      <c r="J1" t="s">
        <v>96</v>
      </c>
      <c r="K1" t="s">
        <v>97</v>
      </c>
      <c r="L1" t="s">
        <v>98</v>
      </c>
      <c r="M1" t="s">
        <v>99</v>
      </c>
      <c r="N1" t="s">
        <v>100</v>
      </c>
      <c r="O1" t="s">
        <v>101</v>
      </c>
      <c r="P1" t="s">
        <v>102</v>
      </c>
      <c r="Q1" t="s">
        <v>103</v>
      </c>
      <c r="R1" t="s">
        <v>104</v>
      </c>
      <c r="S1" t="s">
        <v>105</v>
      </c>
      <c r="T1" t="s">
        <v>106</v>
      </c>
      <c r="U1" t="s">
        <v>107</v>
      </c>
      <c r="V1" t="s">
        <v>108</v>
      </c>
      <c r="W1" t="s">
        <v>109</v>
      </c>
      <c r="X1" t="s">
        <v>110</v>
      </c>
      <c r="Y1" t="s">
        <v>111</v>
      </c>
      <c r="Z1" t="s">
        <v>112</v>
      </c>
      <c r="AA1" t="s">
        <v>113</v>
      </c>
      <c r="AB1" t="s">
        <v>114</v>
      </c>
      <c r="AC1" t="s">
        <v>115</v>
      </c>
      <c r="AD1" t="s">
        <v>116</v>
      </c>
      <c r="AE1" t="s">
        <v>117</v>
      </c>
      <c r="AF1" t="s">
        <v>118</v>
      </c>
      <c r="AG1" t="s">
        <v>119</v>
      </c>
      <c r="AH1" t="s">
        <v>120</v>
      </c>
      <c r="AI1" t="s">
        <v>121</v>
      </c>
      <c r="AJ1" t="s">
        <v>122</v>
      </c>
      <c r="AK1" t="s">
        <v>123</v>
      </c>
      <c r="AL1" t="s">
        <v>124</v>
      </c>
      <c r="AM1" t="s">
        <v>125</v>
      </c>
      <c r="AN1" t="s">
        <v>126</v>
      </c>
      <c r="AO1" t="s">
        <v>127</v>
      </c>
      <c r="AP1" t="s">
        <v>128</v>
      </c>
      <c r="AQ1" t="s">
        <v>129</v>
      </c>
      <c r="AR1" t="s">
        <v>130</v>
      </c>
      <c r="AS1" t="s">
        <v>131</v>
      </c>
      <c r="AT1" t="s">
        <v>132</v>
      </c>
      <c r="AU1" t="s">
        <v>133</v>
      </c>
      <c r="AV1" t="s">
        <v>134</v>
      </c>
      <c r="AW1" t="s">
        <v>141</v>
      </c>
      <c r="AX1" t="s">
        <v>142</v>
      </c>
      <c r="AY1" t="s">
        <v>135</v>
      </c>
      <c r="AZ1" t="s">
        <v>143</v>
      </c>
      <c r="BA1" t="s">
        <v>144</v>
      </c>
      <c r="BB1" t="s">
        <v>136</v>
      </c>
      <c r="BC1" t="s">
        <v>137</v>
      </c>
      <c r="BD1" t="s">
        <v>138</v>
      </c>
      <c r="BE1" t="s">
        <v>145</v>
      </c>
      <c r="BF1" t="s">
        <v>146</v>
      </c>
      <c r="BG1" t="s">
        <v>147</v>
      </c>
      <c r="BH1" t="s">
        <v>148</v>
      </c>
      <c r="BI1" t="s">
        <v>149</v>
      </c>
      <c r="BJ1" t="s">
        <v>150</v>
      </c>
      <c r="BK1" t="s">
        <v>151</v>
      </c>
      <c r="BL1" t="s">
        <v>152</v>
      </c>
      <c r="BM1" t="s">
        <v>153</v>
      </c>
      <c r="BN1" t="s">
        <v>154</v>
      </c>
      <c r="BO1" t="s">
        <v>170</v>
      </c>
      <c r="BP1" t="s">
        <v>171</v>
      </c>
      <c r="BQ1" t="s">
        <v>155</v>
      </c>
      <c r="BR1" t="s">
        <v>156</v>
      </c>
      <c r="BS1" t="s">
        <v>157</v>
      </c>
      <c r="BT1" t="s">
        <v>158</v>
      </c>
      <c r="BU1" t="s">
        <v>159</v>
      </c>
      <c r="BV1" t="s">
        <v>160</v>
      </c>
      <c r="BW1" t="s">
        <v>161</v>
      </c>
      <c r="BX1" t="s">
        <v>162</v>
      </c>
      <c r="BY1" t="s">
        <v>163</v>
      </c>
      <c r="BZ1" t="s">
        <v>164</v>
      </c>
      <c r="CA1" t="s">
        <v>165</v>
      </c>
      <c r="CB1" t="s">
        <v>166</v>
      </c>
      <c r="CC1" t="s">
        <v>172</v>
      </c>
      <c r="CD1" t="s">
        <v>139</v>
      </c>
      <c r="CE1" t="s">
        <v>174</v>
      </c>
      <c r="CF1" t="s">
        <v>140</v>
      </c>
    </row>
    <row r="2" spans="1:84" x14ac:dyDescent="0.25">
      <c r="A2" t="str">
        <f>REN_Utility_Name</f>
        <v>Tacoma Power</v>
      </c>
      <c r="B2">
        <f>REN_Total_2014</f>
        <v>178757</v>
      </c>
      <c r="C2">
        <f>CON_2012_Agriculture_MWH</f>
        <v>0</v>
      </c>
      <c r="D2">
        <f>CON_2012_Commercial_Expend</f>
        <v>4360088</v>
      </c>
      <c r="E2">
        <f>CON_2012_Commercial_MWH</f>
        <v>23118.516820000001</v>
      </c>
      <c r="F2">
        <f>CON_2012_Distribution_Expend</f>
        <v>0</v>
      </c>
      <c r="G2">
        <f>CON_2012_Distribution_MWH</f>
        <v>0</v>
      </c>
      <c r="H2">
        <f>CON_2012_Expenditures</f>
        <v>14769724.530000001</v>
      </c>
      <c r="I2">
        <f>CON_2012_Industrial_Expend</f>
        <v>563719</v>
      </c>
      <c r="J2">
        <f>CON_2012_Industrial_MWH</f>
        <v>2989.0091799999996</v>
      </c>
      <c r="K2">
        <f>CON_2012_MWH</f>
        <v>65712.573378853922</v>
      </c>
      <c r="L2">
        <f>CON_2012_NEEA_Expend</f>
        <v>428068.9</v>
      </c>
      <c r="M2">
        <f>CON_2012_NEEA_MWH</f>
        <v>16359.90796665565</v>
      </c>
      <c r="N2">
        <f>CON_2012_OtherSector1_Expend</f>
        <v>0</v>
      </c>
      <c r="O2">
        <f>CON_2012_OtherSector1_MWH</f>
        <v>0</v>
      </c>
      <c r="P2">
        <f>CON_2012_OtherSector2_Expend</f>
        <v>0</v>
      </c>
      <c r="Q2">
        <f>CON_2012_OtherSector2_MWH</f>
        <v>0</v>
      </c>
      <c r="R2">
        <f>CON_2012_Production_Expend</f>
        <v>0</v>
      </c>
      <c r="S2">
        <f>CON_2012_Production_MWH</f>
        <v>0</v>
      </c>
      <c r="T2">
        <f>CON_2012_Program1_Expend</f>
        <v>0</v>
      </c>
      <c r="U2">
        <f>CON_2012_Program2_Expend</f>
        <v>0</v>
      </c>
      <c r="V2">
        <f>CON_2012_Residential_Expend</f>
        <v>8100814</v>
      </c>
      <c r="W2">
        <f>CON_2012_Residential_MWH</f>
        <v>23245.13941219827</v>
      </c>
      <c r="X2">
        <f>CON_2013_Agriculture_Expend</f>
        <v>0</v>
      </c>
      <c r="Y2">
        <f>CON_2013_Agriculture_MWH</f>
        <v>0</v>
      </c>
      <c r="Z2">
        <f>CON_2013_Commercial_Expend</f>
        <v>3591803</v>
      </c>
      <c r="AA2">
        <f>CON_2013_Commercial_MWH</f>
        <v>18330.51971</v>
      </c>
      <c r="AB2">
        <f>CON_2013_Distribution_Expend</f>
        <v>122670</v>
      </c>
      <c r="AC2">
        <f>CON_2013_Distribution_MWH</f>
        <v>2556.0218199999999</v>
      </c>
      <c r="AD2">
        <f>CON_2013_Expenditures</f>
        <v>14881332.379999999</v>
      </c>
      <c r="AE2">
        <f>CON_2013_Industrial_Expend</f>
        <v>1539931</v>
      </c>
      <c r="AF2">
        <f>CON_2013_Industrial_MWH</f>
        <v>7858.9303200000004</v>
      </c>
      <c r="AG2">
        <f>CON_2013_MWH</f>
        <v>68811.831009140151</v>
      </c>
      <c r="AH2">
        <f>CON_2013_NEEA_Expend</f>
        <v>427224</v>
      </c>
      <c r="AI2">
        <f>CON_2013_NEEA_MWH</f>
        <v>15871.989245036573</v>
      </c>
      <c r="AJ2">
        <f>CON_2013_OtherSector1_Expend</f>
        <v>0</v>
      </c>
      <c r="AK2">
        <f>CON_2013_OtherSector1_MWH</f>
        <v>0</v>
      </c>
      <c r="AL2">
        <f>CON_2013_OtherSector2_Expend</f>
        <v>0</v>
      </c>
      <c r="AM2">
        <f>CON_2013_OtherSector2_MWH</f>
        <v>0</v>
      </c>
      <c r="AN2">
        <f>CON_2013_Production_Expend</f>
        <v>0</v>
      </c>
      <c r="AO2">
        <f>CON_2013_Production_MWH</f>
        <v>0</v>
      </c>
      <c r="AP2">
        <f>CON_2013_Program1_Expend</f>
        <v>0</v>
      </c>
      <c r="AQ2">
        <f>CON_2013_Program2_Expend</f>
        <v>0</v>
      </c>
      <c r="AR2">
        <f>CON_2013_Residential_Expend</f>
        <v>7886452</v>
      </c>
      <c r="AS2">
        <f>CON_2013_Residential_MWH</f>
        <v>24194.369914103583</v>
      </c>
      <c r="AT2" t="str">
        <f>CON_Contact_Name</f>
        <v>Jeff Stafford</v>
      </c>
      <c r="AU2" t="str">
        <f>CON_Email</f>
        <v>jstafford@cityofTacoma.org</v>
      </c>
      <c r="AV2" t="str">
        <f>CON_Phone</f>
        <v>(253) 502-8940</v>
      </c>
      <c r="AW2">
        <f>CON_Potential_2012_2021</f>
        <v>496692</v>
      </c>
      <c r="AX2">
        <f>CON_Potential_2014_2023</f>
        <v>354780</v>
      </c>
      <c r="AY2">
        <f>CON_Report_Date</f>
        <v>41790</v>
      </c>
      <c r="AZ2">
        <f>CON_Target_2012_2013</f>
        <v>99338</v>
      </c>
      <c r="BA2">
        <f>CON_Target_2014_2015</f>
        <v>70956</v>
      </c>
      <c r="BB2" t="str">
        <f>CON_Utility_Name</f>
        <v>Tacoma Power</v>
      </c>
      <c r="BC2" t="str">
        <f>REN_Contact_Name</f>
        <v>Bill Dickens/Power Management</v>
      </c>
      <c r="BD2" t="str">
        <f>REN_Email</f>
        <v>bdickens@cityoftacoma.org</v>
      </c>
      <c r="BE2">
        <f>REN_ERR_ApprenticeLabor</f>
        <v>12199</v>
      </c>
      <c r="BF2">
        <f>REN_ERR_Biodiesel</f>
        <v>0</v>
      </c>
      <c r="BG2">
        <f>REN_ERR_Biomass</f>
        <v>0</v>
      </c>
      <c r="BH2">
        <f>REN_ERR_Geothermal</f>
        <v>0</v>
      </c>
      <c r="BI2">
        <f>REN_ERR_LandfillGas</f>
        <v>0</v>
      </c>
      <c r="BJ2">
        <f>REN_ERR_SewageGas</f>
        <v>0</v>
      </c>
      <c r="BK2">
        <f>REN_ERR_Solar</f>
        <v>0</v>
      </c>
      <c r="BL2">
        <f>REN_ERR_Water</f>
        <v>70043</v>
      </c>
      <c r="BM2">
        <f>REN_ERR_Wind</f>
        <v>0</v>
      </c>
      <c r="BN2">
        <f>REN_ERR_WOT</f>
        <v>0</v>
      </c>
      <c r="BO2">
        <f>REN_Expenditure_Amount_2014</f>
        <v>1949929</v>
      </c>
      <c r="BP2">
        <f>REN_Expenditure_Percent_2014</f>
        <v>6.0802934542528008E-3</v>
      </c>
      <c r="BQ2">
        <f>REN_Load_2012</f>
        <v>4748287</v>
      </c>
      <c r="BR2">
        <f>REN_Load_2013</f>
        <v>4806761</v>
      </c>
      <c r="BS2">
        <f>REN_REC_ApprenticeLabor</f>
        <v>0</v>
      </c>
      <c r="BT2">
        <f>REN_REC_Biodiesel</f>
        <v>0</v>
      </c>
      <c r="BU2">
        <f>REN_REC_Biomass</f>
        <v>0</v>
      </c>
      <c r="BV2">
        <f>REN_REC_DistributedGeneration</f>
        <v>0</v>
      </c>
      <c r="BW2">
        <f>REN_REC_Geothermal</f>
        <v>0</v>
      </c>
      <c r="BX2">
        <f>REN_REC_LandfillGas</f>
        <v>0</v>
      </c>
      <c r="BY2">
        <f>REN_REC_SewageGas</f>
        <v>0</v>
      </c>
      <c r="BZ2">
        <f>REN_REC_Solar</f>
        <v>0</v>
      </c>
      <c r="CA2">
        <f>REN_REC_Wind</f>
        <v>96515</v>
      </c>
      <c r="CB2">
        <f>REN_REC_WOT</f>
        <v>0</v>
      </c>
      <c r="CC2">
        <f>REN_RetailRevenueRequirement_2014</f>
        <v>320696528</v>
      </c>
      <c r="CD2">
        <f>REN_Submittal_Date</f>
        <v>41787</v>
      </c>
      <c r="CE2">
        <f>REN_Total_2014</f>
        <v>178757</v>
      </c>
      <c r="CF2" t="str">
        <f>REN_Utility_Name</f>
        <v>Tacoma Power</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ccomplishment_x0020__x002f__x0020_Target_x0020_Type xmlns="d6a557ec-81bb-4e06-8f53-02e7071b5b00">N/A</Accomplishment_x0020__x002f__x0020_Target_x0020_Type>
    <Document_x0020_Type xmlns="d6a557ec-81bb-4e06-8f53-02e7071b5b0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087E63984B026438E29E14D86491EC4" ma:contentTypeVersion="2" ma:contentTypeDescription="Create a new document." ma:contentTypeScope="" ma:versionID="ee5e4e01dfa5c2d26b679583f2956ceb">
  <xsd:schema xmlns:xsd="http://www.w3.org/2001/XMLSchema" xmlns:p="http://schemas.microsoft.com/office/2006/metadata/properties" xmlns:ns2="d6a557ec-81bb-4e06-8f53-02e7071b5b00" targetNamespace="http://schemas.microsoft.com/office/2006/metadata/properties" ma:root="true" ma:fieldsID="b5d3fb2895ea622710ef53bf8a0d908a" ns2:_="">
    <xsd:import namespace="d6a557ec-81bb-4e06-8f53-02e7071b5b00"/>
    <xsd:element name="properties">
      <xsd:complexType>
        <xsd:sequence>
          <xsd:element name="documentManagement">
            <xsd:complexType>
              <xsd:all>
                <xsd:element ref="ns2:Document_x0020_Type" minOccurs="0"/>
                <xsd:element ref="ns2:Accomplishment_x0020__x002f__x0020_Target_x0020_Type" minOccurs="0"/>
              </xsd:all>
            </xsd:complexType>
          </xsd:element>
        </xsd:sequence>
      </xsd:complexType>
    </xsd:element>
  </xsd:schema>
  <xsd:schema xmlns:xsd="http://www.w3.org/2001/XMLSchema" xmlns:dms="http://schemas.microsoft.com/office/2006/documentManagement/types" targetNamespace="d6a557ec-81bb-4e06-8f53-02e7071b5b00" elementFormDefault="qualified">
    <xsd:import namespace="http://schemas.microsoft.com/office/2006/documentManagement/types"/>
    <xsd:element name="Document_x0020_Type" ma:index="8" nillable="true" ma:displayName="Document Type" ma:default="" ma:format="Dropdown" ma:internalName="Document_x0020_Type">
      <xsd:simpleType>
        <xsd:restriction base="dms:Choice">
          <xsd:enumeration value="Internal Report"/>
          <xsd:enumeration value="Internal Presentation"/>
          <xsd:enumeration value="Accomplishment Report"/>
          <xsd:enumeration value="SAO Correspondence"/>
          <xsd:enumeration value="WAC"/>
          <xsd:enumeration value="Tacoma Power Tracking System To Do"/>
        </xsd:restriction>
      </xsd:simpleType>
    </xsd:element>
    <xsd:element name="Accomplishment_x0020__x002f__x0020_Target_x0020_Type" ma:index="9" nillable="true" ma:displayName="Accomplishment / Target Type" ma:default="N/A" ma:format="RadioButtons" ma:internalName="Accomplishment_x0020__x002f__x0020_Target_x0020_Type">
      <xsd:simpleType>
        <xsd:restriction base="dms:Choice">
          <xsd:enumeration value="N/A"/>
          <xsd:enumeration value="Efficiency"/>
          <xsd:enumeration value="Production"/>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B5134EF7-F04D-4218-953F-7A835D8EE7C1}">
  <ds:schemaRefs>
    <ds:schemaRef ds:uri="http://schemas.microsoft.com/office/2006/documentManagement/types"/>
    <ds:schemaRef ds:uri="http://www.w3.org/XML/1998/namespace"/>
    <ds:schemaRef ds:uri="http://purl.org/dc/terms/"/>
    <ds:schemaRef ds:uri="http://schemas.openxmlformats.org/package/2006/metadata/core-properties"/>
    <ds:schemaRef ds:uri="http://purl.org/dc/elements/1.1/"/>
    <ds:schemaRef ds:uri="d6a557ec-81bb-4e06-8f53-02e7071b5b00"/>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3.xml><?xml version="1.0" encoding="utf-8"?>
<ds:datastoreItem xmlns:ds="http://schemas.openxmlformats.org/officeDocument/2006/customXml" ds:itemID="{403480D9-9F9B-49EB-9F70-A6441C4155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a557ec-81bb-4e06-8f53-02e7071b5b00"/>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85</vt:i4>
      </vt:variant>
    </vt:vector>
  </HeadingPairs>
  <TitlesOfParts>
    <vt:vector size="90" baseType="lpstr">
      <vt:lpstr>Instructions - 2014</vt:lpstr>
      <vt:lpstr>Instructions - Revise 2012</vt:lpstr>
      <vt:lpstr>Conservation Report</vt:lpstr>
      <vt:lpstr>Renewables Report</vt:lpstr>
      <vt:lpstr>Data</vt:lpstr>
      <vt:lpstr>CON_2012_Agriculture_Expend</vt:lpstr>
      <vt:lpstr>CON_2012_Agriculture_MWH</vt:lpstr>
      <vt:lpstr>CON_2012_Commercial_Expend</vt:lpstr>
      <vt:lpstr>CON_2012_Commercial_MWH</vt:lpstr>
      <vt:lpstr>CON_2012_Distribution_Expend</vt:lpstr>
      <vt:lpstr>CON_2012_Distribution_MWH</vt:lpstr>
      <vt:lpstr>CON_2012_Expenditures</vt:lpstr>
      <vt:lpstr>CON_2012_Industrial_Expend</vt:lpstr>
      <vt:lpstr>CON_2012_Industrial_MWH</vt:lpstr>
      <vt:lpstr>CON_2012_MWH</vt:lpstr>
      <vt:lpstr>CON_2012_NEEA_Expend</vt:lpstr>
      <vt:lpstr>CON_2012_NEEA_MWH</vt:lpstr>
      <vt:lpstr>CON_2012_OtherSector1_Expend</vt:lpstr>
      <vt:lpstr>CON_2012_OtherSector1_MWH</vt:lpstr>
      <vt:lpstr>CON_2012_OtherSector2_Expend</vt:lpstr>
      <vt:lpstr>CON_2012_OtherSector2_MWH</vt:lpstr>
      <vt:lpstr>CON_2012_Production_Expend</vt:lpstr>
      <vt:lpstr>CON_2012_Production_MWH</vt:lpstr>
      <vt:lpstr>CON_2012_Program1_Expend</vt:lpstr>
      <vt:lpstr>CON_2012_Program2_Expend</vt:lpstr>
      <vt:lpstr>CON_2012_Residential_Expend</vt:lpstr>
      <vt:lpstr>CON_2012_Residential_MWH</vt:lpstr>
      <vt:lpstr>CON_2013_Agriculture_Expend</vt:lpstr>
      <vt:lpstr>CON_2013_Agriculture_MWH</vt:lpstr>
      <vt:lpstr>CON_2013_Commercial_Expend</vt:lpstr>
      <vt:lpstr>CON_2013_Commercial_MWH</vt:lpstr>
      <vt:lpstr>CON_2013_Distribution_Expend</vt:lpstr>
      <vt:lpstr>CON_2013_Distribution_MWH</vt:lpstr>
      <vt:lpstr>CON_2013_Expenditures</vt:lpstr>
      <vt:lpstr>CON_2013_Industrial_Expend</vt:lpstr>
      <vt:lpstr>CON_2013_Industrial_MWH</vt:lpstr>
      <vt:lpstr>CON_2013_MWH</vt:lpstr>
      <vt:lpstr>CON_2013_NEEA_Expend</vt:lpstr>
      <vt:lpstr>CON_2013_NEEA_MWH</vt:lpstr>
      <vt:lpstr>CON_2013_OtherSector1_Expend</vt:lpstr>
      <vt:lpstr>CON_2013_OtherSector1_MWH</vt:lpstr>
      <vt:lpstr>CON_2013_OtherSector2_Expend</vt:lpstr>
      <vt:lpstr>CON_2013_OtherSector2_MWH</vt:lpstr>
      <vt:lpstr>CON_2013_Production_Expend</vt:lpstr>
      <vt:lpstr>CON_2013_Production_MWH</vt:lpstr>
      <vt:lpstr>CON_2013_Program1_Expend</vt:lpstr>
      <vt:lpstr>CON_2013_Program2_Expend</vt:lpstr>
      <vt:lpstr>CON_2013_Residential_Expend</vt:lpstr>
      <vt:lpstr>CON_2013_Residential_MWH</vt:lpstr>
      <vt:lpstr>CON_Contact_Name</vt:lpstr>
      <vt:lpstr>CON_Email</vt:lpstr>
      <vt:lpstr>CON_Phone</vt:lpstr>
      <vt:lpstr>CON_Potential_2012_2021</vt:lpstr>
      <vt:lpstr>CON_Potential_2014_2023</vt:lpstr>
      <vt:lpstr>CON_Report_Date</vt:lpstr>
      <vt:lpstr>CON_Target_2012_2013</vt:lpstr>
      <vt:lpstr>CON_Target_2014_2015</vt:lpstr>
      <vt:lpstr>CON_Utility_Name</vt:lpstr>
      <vt:lpstr>'Conservation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REN_ERR_SewageGas</vt:lpstr>
      <vt:lpstr>REN_ERR_Solar</vt:lpstr>
      <vt:lpstr>REN_ERR_Water</vt:lpstr>
      <vt:lpstr>REN_ERR_Wind</vt:lpstr>
      <vt:lpstr>REN_ERR_WOT</vt:lpstr>
      <vt:lpstr>REN_Expenditure_Amount_2014</vt:lpstr>
      <vt:lpstr>REN_Expenditure_Percent_2014</vt:lpstr>
      <vt:lpstr>REN_Load_2012</vt:lpstr>
      <vt:lpstr>REN_Load_2013</vt:lpstr>
      <vt:lpstr>REN_REC_ApprenticeLabor</vt:lpstr>
      <vt:lpstr>REN_REC_Biodiesel</vt:lpstr>
      <vt:lpstr>REN_REC_Biomass</vt:lpstr>
      <vt:lpstr>REN_REC_DistributedGeneration</vt:lpstr>
      <vt:lpstr>REN_REC_Geothermal</vt:lpstr>
      <vt:lpstr>REN_REC_LandfillGas</vt:lpstr>
      <vt:lpstr>REN_REC_SewageGas</vt:lpstr>
      <vt:lpstr>REN_REC_Solar</vt:lpstr>
      <vt:lpstr>REN_REC_Wind</vt:lpstr>
      <vt:lpstr>REN_REC_WOT</vt:lpstr>
      <vt:lpstr>REN_RetailRevenueRequirement_2014</vt:lpstr>
      <vt:lpstr>REN_Submittal_Date</vt:lpstr>
      <vt:lpstr>REN_Total_2014</vt:lpstr>
      <vt:lpstr>REN_Utility_Name</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2014 Report Workbook for Utilities</dc:title>
  <dc:creator>Glenn Blackmon</dc:creator>
  <cp:keywords>EIA 2014 Report Workbook for Utilities</cp:keywords>
  <cp:lastModifiedBy>Garcia, Nicolas</cp:lastModifiedBy>
  <cp:lastPrinted>2014-05-23T19:53:50Z</cp:lastPrinted>
  <dcterms:created xsi:type="dcterms:W3CDTF">2012-03-20T21:01:26Z</dcterms:created>
  <dcterms:modified xsi:type="dcterms:W3CDTF">2014-05-29T17:01:26Z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0x0101007087E63984B026438E29E14D86491EC4</vt:lpwstr>
  </property>
  <property fmtid="{D5CDD505-2E9C-101B-9397-08002B2CF9AE}" pid="3" name="Tags">
    <vt:lpwstr>22;#Energy and Technology|43b76879-3ce9-450b-82c1-09e0fad106ad;#2;#State Energy Office|a139cb90-38ff-40be-94b0-10864d67941e;#13;#Electric Utilities|06344503-e39b-47b5-a8fa-c7183fd9f2d6;#52;#Energy Independence|52a36080-840b-42db-9c95-a574519b8fa9</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y fmtid="{D5CDD505-2E9C-101B-9397-08002B2CF9AE}" pid="8" name="BusinessUnit">
    <vt:lpwstr>Energy Office</vt:lpwstr>
  </property>
  <property fmtid="{D5CDD505-2E9C-101B-9397-08002B2CF9AE}" pid="9" name="Publish">
    <vt:lpwstr>Yes</vt:lpwstr>
  </property>
  <property fmtid="{D5CDD505-2E9C-101B-9397-08002B2CF9AE}" pid="10" name="Program">
    <vt:lpwstr>Energy and Technology</vt:lpwstr>
  </property>
  <property fmtid="{D5CDD505-2E9C-101B-9397-08002B2CF9AE}" pid="11" name="d599451e10b14aceb47619c4acf6a5e3">
    <vt:lpwstr>Energy and Technology43b76879-3ce9-450b-82c1-09e0fad106adState Energy Officea139cb90-38ff-40be-94b0-10864d67941eElectric Utilities06344503-e39b-47b5-a8fa-c7183fd9f2d6Energy Independence52a36080-840b-42db-9c95-a574519b8fa9</vt:lpwstr>
  </property>
  <property fmtid="{D5CDD505-2E9C-101B-9397-08002B2CF9AE}" pid="12" name="Topic">
    <vt:lpwstr>Energy</vt:lpwstr>
  </property>
  <property fmtid="{D5CDD505-2E9C-101B-9397-08002B2CF9AE}" pid="13" name="TaxCatchAll">
    <vt:lpwstr>5213222</vt:lpwstr>
  </property>
  <property fmtid="{D5CDD505-2E9C-101B-9397-08002B2CF9AE}" pid="14" name="RoutingRuleDescription">
    <vt:lpwstr>EIA 2014 Report Workbook for Utilities</vt:lpwstr>
  </property>
  <property fmtid="{D5CDD505-2E9C-101B-9397-08002B2CF9AE}" pid="15" name="Content Type">
    <vt:lpwstr>Form</vt:lpwstr>
  </property>
  <property fmtid="{D5CDD505-2E9C-101B-9397-08002B2CF9AE}" pid="16" name="Year">
    <vt:lpwstr>2014</vt:lpwstr>
  </property>
  <property fmtid="{D5CDD505-2E9C-101B-9397-08002B2CF9AE}" pid="17" name="BExAnalyzer_OldName">
    <vt:lpwstr>EIA_I_937_2014_Official_Template.xlsx</vt:lpwstr>
  </property>
</Properties>
</file>