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15" tabRatio="719" activeTab="2"/>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Report'!$E$30</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Report'!$D$30</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Report'!$E$29</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Report'!$H$30</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Report'!$G$30</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Report'!$H$29</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Report'!$A$1:$J$102</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J6" i="18" l="1"/>
  <c r="H6" i="18"/>
  <c r="N5" i="21" l="1"/>
  <c r="N5" i="20"/>
  <c r="N5" i="18"/>
  <c r="N5" i="16"/>
  <c r="A2" i="19" l="1"/>
  <c r="CF2" i="19"/>
  <c r="CD2" i="19"/>
  <c r="CC2" i="19"/>
  <c r="CB2" i="19"/>
  <c r="CA2" i="19"/>
  <c r="BZ2" i="19"/>
  <c r="BY2" i="19"/>
  <c r="BX2" i="19"/>
  <c r="BW2" i="19"/>
  <c r="BV2" i="19"/>
  <c r="BU2" i="19"/>
  <c r="BT2" i="19"/>
  <c r="BS2" i="19"/>
  <c r="BR2" i="19"/>
  <c r="BQ2" i="19"/>
  <c r="BO2" i="19"/>
  <c r="BN2" i="19"/>
  <c r="BM2" i="19"/>
  <c r="BL2" i="19"/>
  <c r="BK2" i="19"/>
  <c r="BJ2" i="19"/>
  <c r="BI2" i="19"/>
  <c r="BH2" i="19"/>
  <c r="BG2" i="19"/>
  <c r="BF2" i="19"/>
  <c r="BE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N13" i="16" l="1"/>
  <c r="BP2" i="19" s="1"/>
  <c r="C18" i="16" l="1"/>
  <c r="E18" i="16"/>
  <c r="F18" i="16"/>
  <c r="G18" i="16"/>
  <c r="H18" i="16"/>
  <c r="I18" i="16"/>
  <c r="J18" i="16"/>
  <c r="K18" i="16"/>
  <c r="L18" i="16"/>
  <c r="C32" i="18" l="1"/>
  <c r="H30" i="18" l="1"/>
  <c r="AD2" i="19" s="1"/>
  <c r="G30" i="18"/>
  <c r="E30" i="18"/>
  <c r="H2" i="19" s="1"/>
  <c r="D30" i="18"/>
  <c r="K2" i="19" s="1"/>
  <c r="AG2" i="19" l="1"/>
  <c r="H7" i="18"/>
  <c r="H8" i="18" s="1"/>
  <c r="M19" i="16" l="1"/>
  <c r="M20" i="16" l="1"/>
  <c r="F98" i="16"/>
  <c r="L19" i="16"/>
  <c r="F66" i="16"/>
  <c r="F36" i="16"/>
  <c r="K19" i="16"/>
  <c r="J19" i="16"/>
  <c r="I19" i="16"/>
  <c r="H19" i="16"/>
  <c r="G19" i="16"/>
  <c r="F19" i="16"/>
  <c r="E19" i="16"/>
  <c r="D19" i="16"/>
  <c r="C20" i="16"/>
  <c r="N7" i="16"/>
  <c r="F20" i="16" l="1"/>
  <c r="J20" i="16"/>
  <c r="E20" i="16"/>
  <c r="G20" i="16"/>
  <c r="I20" i="16"/>
  <c r="H20" i="16"/>
  <c r="L20" i="16"/>
  <c r="D20" i="16"/>
  <c r="K20" i="16"/>
  <c r="N8" i="16" l="1"/>
  <c r="CE2" i="19" l="1"/>
  <c r="B2" i="19"/>
</calcChain>
</file>

<file path=xl/sharedStrings.xml><?xml version="1.0" encoding="utf-8"?>
<sst xmlns="http://schemas.openxmlformats.org/spreadsheetml/2006/main" count="319" uniqueCount="232">
  <si>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</si>
  <si>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</si>
  <si>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</si>
  <si>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</si>
  <si>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</si>
  <si>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</si>
  <si>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</si>
  <si>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</si>
  <si>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</si>
  <si>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</si>
  <si>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</si>
  <si>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</si>
  <si>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</si>
  <si>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</si>
  <si>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</si>
  <si>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</si>
  <si>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</si>
  <si>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</si>
  <si>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</si>
  <si>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</si>
  <si>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</si>
  <si>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</si>
  <si>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</si>
  <si>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</si>
  <si>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</si>
  <si>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</si>
  <si>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</si>
  <si>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</si>
  <si>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</si>
  <si>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</si>
  <si>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</si>
  <si>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</si>
  <si>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</si>
  <si>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</si>
  <si>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</si>
  <si>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</si>
  <si>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</si>
  <si>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</si>
  <si>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</si>
  <si>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</si>
  <si>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</si>
  <si>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</si>
  <si>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</si>
  <si>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</si>
  <si>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</si>
  <si>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</si>
  <si>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</si>
  <si>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</si>
  <si>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</si>
  <si>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</si>
  <si>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</si>
  <si>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</si>
  <si>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</si>
  <si>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</si>
  <si>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</si>
  <si>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</si>
  <si>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</si>
  <si>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</si>
  <si>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</si>
  <si>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</si>
  <si>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</si>
  <si>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</si>
  <si>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</si>
  <si>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</si>
  <si>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</si>
  <si>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</si>
  <si>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</si>
  <si>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</si>
  <si>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</si>
  <si>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</si>
  <si>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</si>
  <si>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</si>
  <si>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</si>
  <si>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</si>
  <si>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</si>
  <si>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</si>
  <si>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</si>
  <si>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</si>
  <si>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</si>
  <si>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</si>
  <si>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</si>
  <si>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</si>
  <si>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</si>
  <si>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</si>
  <si>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</si>
  <si>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</si>
  <si>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</si>
  <si>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</si>
  <si>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</si>
  <si>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</si>
  <si>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</si>
  <si>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</si>
  <si>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</si>
  <si>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</si>
  <si>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</si>
  <si>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</si>
  <si>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</si>
  <si>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</si>
  <si>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</si>
  <si>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</si>
  <si>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</si>
  <si>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</si>
  <si>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</si>
  <si>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</si>
  <si>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</si>
  <si>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</si>
  <si>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</si>
  <si>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</si>
  <si>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</si>
  <si>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</si>
  <si>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</si>
  <si>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</si>
  <si>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</si>
  <si>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</si>
  <si>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</si>
  <si>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</si>
  <si>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</si>
  <si>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</si>
  <si>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</si>
  <si>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</si>
  <si>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</si>
  <si>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</si>
  <si>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</si>
  <si>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</si>
  <si>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</si>
  <si>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</si>
  <si>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</si>
  <si>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</si>
  <si>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</si>
  <si>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</si>
  <si>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</si>
  <si>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</si>
  <si>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</si>
  <si>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</si>
  <si>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</si>
  <si>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</si>
  <si>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</si>
  <si>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</si>
  <si>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</si>
  <si>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</si>
  <si>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</si>
  <si>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</si>
  <si>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</si>
  <si>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</si>
  <si>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</si>
  <si>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</si>
  <si>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</si>
  <si>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</si>
  <si>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</si>
  <si>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</si>
  <si>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</si>
  <si>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</si>
  <si>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</si>
  <si>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</si>
  <si>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</si>
  <si>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</si>
  <si>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</si>
  <si>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</si>
  <si>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</si>
  <si>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</si>
  <si>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</si>
  <si>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</si>
  <si>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</si>
  <si>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</si>
  <si>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</si>
  <si>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</si>
  <si>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</si>
  <si>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</si>
  <si>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</si>
  <si>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</si>
  <si>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</si>
  <si>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</si>
  <si>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</si>
  <si>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</si>
  <si>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</si>
  <si>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</si>
  <si>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</si>
  <si>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</si>
  <si>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</si>
  <si>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</si>
  <si>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</si>
  <si>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</si>
  <si>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</si>
  <si>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</si>
  <si>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</si>
  <si>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</si>
  <si>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</si>
  <si>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</si>
  <si>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</si>
  <si>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</si>
  <si>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</si>
  <si>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</si>
  <si>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</si>
  <si>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</si>
  <si>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</si>
  <si>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</si>
  <si>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</si>
  <si>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</si>
  <si>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</si>
  <si>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</si>
  <si>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</si>
  <si>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</si>
  <si>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</si>
  <si>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</si>
  <si>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</si>
  <si>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</si>
  <si>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</si>
  <si>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</si>
  <si>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</si>
  <si>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</si>
  <si>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</si>
  <si>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</si>
  <si>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</si>
  <si>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</si>
  <si>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</si>
  <si>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</si>
  <si>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</si>
  <si>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</si>
  <si>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</si>
  <si>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</si>
  <si>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Puget Sound Energy</t>
  </si>
  <si>
    <t>Dan Anderson, Budget &amp; Administration</t>
  </si>
  <si>
    <t>425 456-2306</t>
  </si>
  <si>
    <t>daniel.anderson@pse.com</t>
  </si>
  <si>
    <t>Gen &amp; Distribution</t>
  </si>
  <si>
    <t>Portfolio Support</t>
  </si>
  <si>
    <t>Research &amp; Compliance</t>
  </si>
  <si>
    <t>Please see table in "Conservation Notes" discussion.</t>
  </si>
  <si>
    <t>Eric Englert</t>
  </si>
  <si>
    <t>425 456-2312</t>
  </si>
  <si>
    <t>eric.englert@pse.com</t>
  </si>
  <si>
    <t>Original May 30, 2014, updated August 29,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</si>
</sst>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8">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right style="hair">
        <color indexed="64"/>
      </right>
      <top/>
      <bottom/>
      <diagonal/>
    </border>
  </borders>
  <cellStyleXfs count="5">
    <xf numFmtId="0" fontId="0" fillId="0" borderId="0"/>
    <xf numFmtId="43" fontId="11" fillId="0" borderId="0" applyFont="0" applyFill="0" applyBorder="0" applyAlignment="0" applyProtection="0"/>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9" fontId="11" fillId="0" borderId="0" applyFont="0" applyFill="0" applyBorder="0" applyAlignment="0" applyProtection="0"/>
  </cellStyleXfs>
  <cellXfs count="188">
    <xf numFmtId="0" fontId="0" fillId="0" borderId="0" xfId="0"/>
    <xf numFmtId="0" fontId="13" fillId="2" borderId="0" xfId="0" applyFont="1" applyFill="1"/>
    <xf numFmtId="0" fontId="14" fillId="2" borderId="0" xfId="0" applyFont="1" applyFill="1" applyBorder="1" applyAlignment="1"/>
    <xf numFmtId="0" fontId="14" fillId="2" borderId="0" xfId="0" applyFont="1" applyFill="1" applyBorder="1" applyAlignment="1">
      <alignment horizontal="right"/>
    </xf>
    <xf numFmtId="0" fontId="13" fillId="2" borderId="0" xfId="0" applyFont="1" applyFill="1" applyBorder="1" applyAlignment="1">
      <alignment horizontal="right"/>
    </xf>
    <xf numFmtId="0" fontId="13" fillId="2" borderId="0" xfId="0" applyFont="1" applyFill="1" applyAlignment="1">
      <alignment horizontal="right"/>
    </xf>
    <xf numFmtId="0" fontId="14" fillId="2" borderId="0" xfId="0" applyFont="1" applyFill="1" applyBorder="1" applyAlignment="1">
      <alignment horizontal="left"/>
    </xf>
    <xf numFmtId="0" fontId="13" fillId="2" borderId="0" xfId="0" applyFont="1" applyFill="1" applyBorder="1"/>
    <xf numFmtId="0" fontId="13" fillId="2" borderId="0" xfId="0" applyFont="1" applyFill="1" applyAlignment="1">
      <alignment horizontal="center"/>
    </xf>
    <xf numFmtId="0" fontId="13" fillId="2" borderId="0" xfId="0" applyFont="1" applyFill="1" applyBorder="1" applyAlignment="1">
      <alignment horizontal="center"/>
    </xf>
    <xf numFmtId="0" fontId="14" fillId="2" borderId="0" xfId="0" applyFont="1" applyFill="1" applyAlignment="1">
      <alignment horizontal="right"/>
    </xf>
    <xf numFmtId="0" fontId="14" fillId="2" borderId="0" xfId="0" applyFont="1" applyFill="1"/>
    <xf numFmtId="165" fontId="13" fillId="3" borderId="1" xfId="1" applyNumberFormat="1" applyFont="1" applyFill="1" applyBorder="1"/>
    <xf numFmtId="165" fontId="13" fillId="3" borderId="2" xfId="1" applyNumberFormat="1" applyFont="1" applyFill="1" applyBorder="1"/>
    <xf numFmtId="165" fontId="13" fillId="3" borderId="3" xfId="1" applyNumberFormat="1" applyFont="1" applyFill="1" applyBorder="1"/>
    <xf numFmtId="0" fontId="13" fillId="2" borderId="0" xfId="0" applyFont="1" applyFill="1" applyAlignment="1">
      <alignment wrapText="1"/>
    </xf>
    <xf numFmtId="0" fontId="15" fillId="2" borderId="0" xfId="0" applyFont="1" applyFill="1" applyBorder="1"/>
    <xf numFmtId="0" fontId="14" fillId="2" borderId="4" xfId="0" applyFont="1" applyFill="1" applyBorder="1" applyAlignment="1">
      <alignment horizontal="center" wrapText="1"/>
    </xf>
    <xf numFmtId="0" fontId="13" fillId="2" borderId="5" xfId="0" applyFont="1" applyFill="1" applyBorder="1"/>
    <xf numFmtId="0" fontId="14" fillId="2" borderId="6" xfId="0" applyFont="1" applyFill="1" applyBorder="1" applyAlignment="1">
      <alignment horizontal="right"/>
    </xf>
    <xf numFmtId="0" fontId="14" fillId="2" borderId="0" xfId="0" applyFont="1" applyFill="1" applyBorder="1"/>
    <xf numFmtId="165" fontId="14" fillId="2" borderId="0" xfId="0" applyNumberFormat="1" applyFont="1" applyFill="1" applyBorder="1" applyAlignment="1">
      <alignment horizontal="center"/>
    </xf>
    <xf numFmtId="165" fontId="14" fillId="2" borderId="0" xfId="1" applyNumberFormat="1" applyFont="1" applyFill="1" applyBorder="1" applyAlignment="1">
      <alignment horizontal="center"/>
    </xf>
    <xf numFmtId="0" fontId="13" fillId="2" borderId="0" xfId="0" applyFont="1" applyFill="1" applyAlignment="1">
      <alignment vertical="top"/>
    </xf>
    <xf numFmtId="0" fontId="13" fillId="2" borderId="0" xfId="0" applyFont="1" applyFill="1" applyAlignment="1"/>
    <xf numFmtId="0" fontId="16" fillId="2" borderId="0" xfId="0" applyFont="1" applyFill="1" applyAlignment="1">
      <alignment horizontal="center" vertical="center"/>
    </xf>
    <xf numFmtId="0" fontId="13" fillId="2" borderId="7" xfId="0" applyFont="1" applyFill="1" applyBorder="1"/>
    <xf numFmtId="0" fontId="17" fillId="2" borderId="0" xfId="0" applyFont="1" applyFill="1" applyBorder="1" applyAlignment="1">
      <alignment horizontal="center" vertical="center" wrapText="1"/>
    </xf>
    <xf numFmtId="0" fontId="13" fillId="2" borderId="0" xfId="0" applyFont="1" applyFill="1" applyBorder="1" applyAlignment="1"/>
    <xf numFmtId="0" fontId="18" fillId="2" borderId="0" xfId="0" applyFont="1" applyFill="1"/>
    <xf numFmtId="0" fontId="18" fillId="0" borderId="0" xfId="0" applyFont="1" applyAlignment="1">
      <alignment wrapText="1"/>
    </xf>
    <xf numFmtId="0" fontId="16" fillId="2" borderId="3"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165" fontId="14" fillId="3" borderId="11" xfId="0" applyNumberFormat="1" applyFont="1" applyFill="1" applyBorder="1" applyAlignment="1">
      <alignment horizontal="center"/>
    </xf>
    <xf numFmtId="0" fontId="4" fillId="2" borderId="12" xfId="0" applyFont="1" applyFill="1" applyBorder="1" applyAlignment="1" applyProtection="1">
      <alignment horizontal="right"/>
    </xf>
    <xf numFmtId="0" fontId="13" fillId="2" borderId="12" xfId="0" applyFont="1" applyFill="1" applyBorder="1" applyAlignment="1">
      <alignment horizontal="right"/>
    </xf>
    <xf numFmtId="0" fontId="14" fillId="2" borderId="13" xfId="0" applyFont="1" applyFill="1" applyBorder="1"/>
    <xf numFmtId="0" fontId="6" fillId="4" borderId="14" xfId="0" applyFont="1" applyFill="1" applyBorder="1" applyAlignment="1">
      <alignment horizontal="right"/>
    </xf>
    <xf numFmtId="0" fontId="14" fillId="4" borderId="14" xfId="0" applyFont="1" applyFill="1" applyBorder="1"/>
    <xf numFmtId="0" fontId="14" fillId="4" borderId="15" xfId="0" applyFont="1" applyFill="1" applyBorder="1"/>
    <xf numFmtId="0" fontId="14" fillId="4" borderId="12" xfId="0" applyFont="1" applyFill="1" applyBorder="1"/>
    <xf numFmtId="0" fontId="14" fillId="4" borderId="16" xfId="0" applyFont="1" applyFill="1" applyBorder="1"/>
    <xf numFmtId="0" fontId="6" fillId="2" borderId="0" xfId="0" applyFont="1" applyFill="1" applyAlignment="1">
      <alignment horizontal="right"/>
    </xf>
    <xf numFmtId="0" fontId="4" fillId="4" borderId="20" xfId="0" applyFont="1" applyFill="1" applyBorder="1" applyAlignment="1">
      <alignment horizontal="right"/>
    </xf>
    <xf numFmtId="0" fontId="4" fillId="4" borderId="14" xfId="0" applyFont="1" applyFill="1" applyBorder="1" applyAlignment="1">
      <alignment horizontal="right"/>
    </xf>
    <xf numFmtId="0" fontId="4" fillId="4" borderId="14" xfId="0" applyFont="1" applyFill="1" applyBorder="1" applyAlignment="1">
      <alignment horizontal="right" wrapText="1"/>
    </xf>
    <xf numFmtId="0" fontId="14" fillId="4" borderId="21" xfId="0" applyFont="1" applyFill="1" applyBorder="1"/>
    <xf numFmtId="0" fontId="19" fillId="4" borderId="12" xfId="0" applyFont="1" applyFill="1" applyBorder="1"/>
    <xf numFmtId="165" fontId="13" fillId="4" borderId="22" xfId="1" applyNumberFormat="1" applyFont="1" applyFill="1" applyBorder="1"/>
    <xf numFmtId="165" fontId="13" fillId="4" borderId="1" xfId="1" applyNumberFormat="1" applyFont="1" applyFill="1" applyBorder="1"/>
    <xf numFmtId="165" fontId="13" fillId="4" borderId="17" xfId="1" applyNumberFormat="1" applyFont="1" applyFill="1" applyBorder="1"/>
    <xf numFmtId="165" fontId="13" fillId="4" borderId="23" xfId="1" applyNumberFormat="1" applyFont="1" applyFill="1" applyBorder="1"/>
    <xf numFmtId="165" fontId="13" fillId="4" borderId="24" xfId="1" applyNumberFormat="1" applyFont="1" applyFill="1" applyBorder="1"/>
    <xf numFmtId="165" fontId="13" fillId="4" borderId="25" xfId="1" applyNumberFormat="1" applyFont="1" applyFill="1" applyBorder="1"/>
    <xf numFmtId="165" fontId="13" fillId="4" borderId="26" xfId="1" applyNumberFormat="1" applyFont="1" applyFill="1" applyBorder="1"/>
    <xf numFmtId="165" fontId="13" fillId="4" borderId="2" xfId="1" applyNumberFormat="1" applyFont="1" applyFill="1" applyBorder="1"/>
    <xf numFmtId="165" fontId="13" fillId="4" borderId="18" xfId="1" applyNumberFormat="1" applyFont="1" applyFill="1" applyBorder="1"/>
    <xf numFmtId="165" fontId="20" fillId="4" borderId="10" xfId="1" applyNumberFormat="1" applyFont="1" applyFill="1" applyBorder="1" applyAlignment="1">
      <alignment horizontal="center"/>
    </xf>
    <xf numFmtId="165" fontId="20" fillId="4" borderId="6" xfId="1" applyNumberFormat="1" applyFont="1" applyFill="1" applyBorder="1" applyAlignment="1">
      <alignment horizontal="center"/>
    </xf>
    <xf numFmtId="165" fontId="13" fillId="4" borderId="6" xfId="1" applyNumberFormat="1" applyFont="1" applyFill="1" applyBorder="1"/>
    <xf numFmtId="165" fontId="13" fillId="4" borderId="11" xfId="1" applyNumberFormat="1" applyFont="1" applyFill="1" applyBorder="1"/>
    <xf numFmtId="166" fontId="13" fillId="2" borderId="0" xfId="2" applyNumberFormat="1" applyFont="1" applyFill="1" applyBorder="1" applyAlignment="1">
      <alignment horizontal="right"/>
    </xf>
    <xf numFmtId="167" fontId="13" fillId="2" borderId="0" xfId="4" applyNumberFormat="1" applyFont="1" applyFill="1" applyBorder="1" applyAlignment="1">
      <alignment horizontal="right"/>
    </xf>
    <xf numFmtId="166" fontId="13" fillId="2" borderId="0" xfId="0" applyNumberFormat="1" applyFont="1" applyFill="1" applyBorder="1"/>
    <xf numFmtId="0" fontId="13" fillId="2" borderId="0" xfId="0" applyFont="1" applyFill="1" applyBorder="1" applyAlignment="1">
      <alignment horizontal="left"/>
    </xf>
    <xf numFmtId="0" fontId="23" fillId="2" borderId="29" xfId="0" applyFont="1" applyFill="1" applyBorder="1" applyAlignment="1">
      <alignment horizontal="right"/>
    </xf>
    <xf numFmtId="0" fontId="23" fillId="2" borderId="30" xfId="0" applyFont="1" applyFill="1" applyBorder="1" applyAlignment="1">
      <alignment horizontal="right"/>
    </xf>
    <xf numFmtId="0" fontId="23" fillId="2" borderId="0" xfId="0" applyFont="1" applyFill="1" applyAlignment="1">
      <alignment horizontal="right"/>
    </xf>
    <xf numFmtId="0" fontId="24" fillId="2" borderId="0" xfId="0" applyFont="1" applyFill="1"/>
    <xf numFmtId="0" fontId="24" fillId="2" borderId="0" xfId="0" applyFont="1" applyFill="1" applyBorder="1" applyAlignment="1"/>
    <xf numFmtId="0" fontId="23" fillId="2" borderId="0" xfId="0" applyFont="1" applyFill="1" applyBorder="1"/>
    <xf numFmtId="0" fontId="23" fillId="2" borderId="0" xfId="0" applyFont="1" applyFill="1"/>
    <xf numFmtId="0" fontId="14"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10" fillId="2" borderId="0" xfId="0" applyNumberFormat="1" applyFont="1" applyFill="1" applyBorder="1" applyAlignment="1"/>
    <xf numFmtId="0" fontId="14" fillId="2" borderId="0" xfId="0" applyFont="1" applyFill="1" applyBorder="1" applyAlignment="1">
      <alignment horizontal="center"/>
    </xf>
    <xf numFmtId="0" fontId="4" fillId="2" borderId="0" xfId="0" applyFont="1" applyFill="1" applyBorder="1" applyAlignment="1">
      <alignment horizontal="right"/>
    </xf>
    <xf numFmtId="0" fontId="6" fillId="2" borderId="0" xfId="0" applyFont="1" applyFill="1" applyAlignment="1">
      <alignment horizontal="center"/>
    </xf>
    <xf numFmtId="0" fontId="4" fillId="4" borderId="34" xfId="0" applyFont="1" applyFill="1" applyBorder="1" applyAlignment="1">
      <alignment horizontal="right"/>
    </xf>
    <xf numFmtId="0" fontId="4" fillId="4" borderId="12" xfId="0" applyFont="1" applyFill="1" applyBorder="1" applyAlignment="1">
      <alignment horizontal="right"/>
    </xf>
    <xf numFmtId="0" fontId="4" fillId="4" borderId="12" xfId="0" applyFont="1" applyFill="1" applyBorder="1" applyAlignment="1">
      <alignment horizontal="right" wrapText="1"/>
    </xf>
    <xf numFmtId="0" fontId="6" fillId="4" borderId="12" xfId="0" applyFont="1" applyFill="1" applyBorder="1" applyAlignment="1">
      <alignment horizontal="right"/>
    </xf>
    <xf numFmtId="0" fontId="4" fillId="2" borderId="0" xfId="0" applyFont="1" applyFill="1" applyBorder="1" applyAlignment="1">
      <alignment horizontal="right"/>
    </xf>
    <xf numFmtId="0" fontId="13" fillId="2" borderId="33" xfId="0" applyFont="1" applyFill="1" applyBorder="1"/>
    <xf numFmtId="9" fontId="4" fillId="3" borderId="37" xfId="0" applyNumberFormat="1" applyFont="1" applyFill="1" applyBorder="1" applyAlignment="1">
      <alignment horizontal="center"/>
    </xf>
    <xf numFmtId="0" fontId="13" fillId="2" borderId="38" xfId="0" applyFont="1" applyFill="1" applyBorder="1"/>
    <xf numFmtId="0" fontId="13" fillId="2" borderId="32" xfId="0" applyFont="1" applyFill="1" applyBorder="1"/>
    <xf numFmtId="0" fontId="4" fillId="2" borderId="32" xfId="0" applyFont="1" applyFill="1" applyBorder="1" applyAlignment="1">
      <alignment horizontal="right"/>
    </xf>
    <xf numFmtId="0" fontId="26" fillId="2" borderId="0" xfId="0" applyFont="1" applyFill="1" applyBorder="1" applyAlignment="1"/>
    <xf numFmtId="0" fontId="13" fillId="2" borderId="0" xfId="0" applyFont="1" applyFill="1" applyAlignment="1">
      <alignment horizontal="left"/>
    </xf>
    <xf numFmtId="0" fontId="4" fillId="2" borderId="0" xfId="0" applyFont="1" applyFill="1" applyAlignment="1">
      <alignment horizontal="right"/>
    </xf>
    <xf numFmtId="165" fontId="21" fillId="3" borderId="20" xfId="0" applyNumberFormat="1" applyFont="1" applyFill="1" applyBorder="1"/>
    <xf numFmtId="165" fontId="21" fillId="3" borderId="19" xfId="0" applyNumberFormat="1" applyFont="1" applyFill="1" applyBorder="1"/>
    <xf numFmtId="165" fontId="21" fillId="3" borderId="14" xfId="0" applyNumberFormat="1" applyFont="1" applyFill="1" applyBorder="1"/>
    <xf numFmtId="165" fontId="21" fillId="3" borderId="15" xfId="0" applyNumberFormat="1" applyFont="1" applyFill="1" applyBorder="1"/>
    <xf numFmtId="0" fontId="14" fillId="2" borderId="10" xfId="0" applyFont="1" applyFill="1" applyBorder="1" applyAlignment="1">
      <alignment horizontal="center" wrapText="1"/>
    </xf>
    <xf numFmtId="0" fontId="14" fillId="2" borderId="39" xfId="0" applyFont="1" applyFill="1" applyBorder="1" applyAlignment="1">
      <alignment horizontal="center" wrapText="1"/>
    </xf>
    <xf numFmtId="165" fontId="14" fillId="5" borderId="11" xfId="1" applyNumberFormat="1" applyFont="1" applyFill="1" applyBorder="1" applyAlignment="1">
      <alignment horizontal="right"/>
    </xf>
    <xf numFmtId="165" fontId="14" fillId="5" borderId="2" xfId="1" applyNumberFormat="1" applyFont="1" applyFill="1" applyBorder="1" applyAlignment="1">
      <alignment horizontal="right"/>
    </xf>
    <xf numFmtId="165" fontId="14" fillId="5" borderId="18" xfId="1" applyNumberFormat="1" applyFont="1" applyFill="1" applyBorder="1" applyAlignment="1">
      <alignment horizontal="right"/>
    </xf>
    <xf numFmtId="165" fontId="13" fillId="5" borderId="6" xfId="1" applyNumberFormat="1" applyFont="1" applyFill="1" applyBorder="1" applyAlignment="1">
      <alignment horizontal="center"/>
    </xf>
    <xf numFmtId="165" fontId="13" fillId="5" borderId="6" xfId="0" applyNumberFormat="1" applyFont="1" applyFill="1" applyBorder="1" applyAlignment="1">
      <alignment horizontal="center"/>
    </xf>
    <xf numFmtId="0" fontId="14" fillId="5" borderId="12" xfId="0" applyFont="1" applyFill="1" applyBorder="1"/>
    <xf numFmtId="0" fontId="14" fillId="5" borderId="12" xfId="0" applyFont="1" applyFill="1" applyBorder="1" applyAlignment="1">
      <alignment vertical="center" wrapText="1"/>
    </xf>
    <xf numFmtId="164" fontId="13" fillId="6" borderId="27" xfId="0" applyNumberFormat="1" applyFont="1" applyFill="1" applyBorder="1" applyAlignment="1">
      <alignment horizontal="center"/>
    </xf>
    <xf numFmtId="0" fontId="13" fillId="2" borderId="33" xfId="0" applyFont="1" applyFill="1" applyBorder="1" applyAlignment="1"/>
    <xf numFmtId="0" fontId="14" fillId="2" borderId="0" xfId="0" applyFont="1" applyFill="1" applyAlignment="1">
      <alignment horizontal="center"/>
    </xf>
    <xf numFmtId="0" fontId="13" fillId="0" borderId="41" xfId="0" applyFont="1" applyBorder="1" applyAlignment="1"/>
    <xf numFmtId="0" fontId="6" fillId="2" borderId="41" xfId="0" applyFont="1" applyFill="1" applyBorder="1" applyAlignment="1">
      <alignment horizontal="center"/>
    </xf>
    <xf numFmtId="164" fontId="13" fillId="7" borderId="27" xfId="0" applyNumberFormat="1" applyFont="1" applyFill="1" applyBorder="1" applyAlignment="1">
      <alignment horizontal="center"/>
    </xf>
    <xf numFmtId="164" fontId="13" fillId="7" borderId="28" xfId="0" applyNumberFormat="1" applyFont="1" applyFill="1" applyBorder="1" applyAlignment="1">
      <alignment horizontal="center"/>
    </xf>
    <xf numFmtId="169" fontId="13" fillId="5" borderId="24" xfId="1" applyNumberFormat="1" applyFont="1" applyFill="1" applyBorder="1" applyAlignment="1">
      <alignment horizontal="right"/>
    </xf>
    <xf numFmtId="169" fontId="13" fillId="2" borderId="0" xfId="0" applyNumberFormat="1" applyFont="1" applyFill="1" applyAlignment="1">
      <alignment horizontal="right"/>
    </xf>
    <xf numFmtId="169" fontId="14" fillId="3" borderId="2" xfId="1" applyNumberFormat="1" applyFont="1" applyFill="1" applyBorder="1" applyAlignment="1">
      <alignment horizontal="right"/>
    </xf>
    <xf numFmtId="0" fontId="28" fillId="2" borderId="0" xfId="0" applyFont="1" applyFill="1" applyBorder="1" applyAlignment="1">
      <alignment vertical="top" wrapText="1"/>
    </xf>
    <xf numFmtId="0" fontId="28" fillId="2" borderId="32" xfId="0" applyFont="1" applyFill="1" applyBorder="1" applyAlignment="1">
      <alignment vertical="top" wrapText="1"/>
    </xf>
    <xf numFmtId="0" fontId="24" fillId="2" borderId="0" xfId="0" applyFont="1" applyFill="1" applyBorder="1"/>
    <xf numFmtId="0" fontId="28" fillId="2" borderId="38" xfId="0" applyFont="1" applyFill="1" applyBorder="1" applyAlignment="1">
      <alignment vertical="top"/>
    </xf>
    <xf numFmtId="169" fontId="13" fillId="4" borderId="12" xfId="0" applyNumberFormat="1" applyFont="1" applyFill="1" applyBorder="1" applyAlignment="1"/>
    <xf numFmtId="0" fontId="29" fillId="0" borderId="42" xfId="0" applyFont="1" applyBorder="1" applyAlignment="1">
      <alignment vertical="center" wrapText="1"/>
    </xf>
    <xf numFmtId="0" fontId="29" fillId="0" borderId="43" xfId="0" applyFont="1" applyBorder="1" applyAlignment="1">
      <alignment vertical="center" wrapText="1"/>
    </xf>
    <xf numFmtId="0" fontId="23" fillId="0" borderId="43" xfId="0" applyFont="1" applyBorder="1" applyAlignment="1">
      <alignment vertical="center" wrapText="1"/>
    </xf>
    <xf numFmtId="0" fontId="23" fillId="0" borderId="44" xfId="0" applyFont="1" applyBorder="1" applyAlignment="1">
      <alignment vertical="center" wrapText="1"/>
    </xf>
    <xf numFmtId="0" fontId="31" fillId="8" borderId="45" xfId="0" applyFont="1" applyFill="1" applyBorder="1" applyAlignment="1">
      <alignment vertical="center"/>
    </xf>
    <xf numFmtId="0" fontId="31" fillId="8" borderId="46" xfId="0" applyFont="1" applyFill="1" applyBorder="1" applyAlignment="1">
      <alignment vertical="center"/>
    </xf>
    <xf numFmtId="0" fontId="33" fillId="8" borderId="43" xfId="0" applyFont="1" applyFill="1" applyBorder="1" applyAlignment="1">
      <alignment vertical="center" wrapText="1"/>
    </xf>
    <xf numFmtId="0" fontId="33" fillId="8" borderId="46" xfId="0" applyFont="1" applyFill="1" applyBorder="1" applyAlignment="1">
      <alignment vertical="center" wrapText="1"/>
    </xf>
    <xf numFmtId="0" fontId="31" fillId="8" borderId="43" xfId="0" applyFont="1" applyFill="1" applyBorder="1" applyAlignment="1">
      <alignment vertical="center" wrapText="1"/>
    </xf>
    <xf numFmtId="0" fontId="33" fillId="8" borderId="46" xfId="0" applyFont="1" applyFill="1" applyBorder="1" applyAlignment="1">
      <alignment vertical="center"/>
    </xf>
    <xf numFmtId="0" fontId="31" fillId="8" borderId="46" xfId="0" applyFont="1" applyFill="1" applyBorder="1" applyAlignment="1">
      <alignment vertical="center" wrapText="1"/>
    </xf>
    <xf numFmtId="0" fontId="29" fillId="8" borderId="46" xfId="0" applyFont="1" applyFill="1" applyBorder="1" applyAlignment="1">
      <alignment vertical="center"/>
    </xf>
    <xf numFmtId="0" fontId="31" fillId="8" borderId="43" xfId="0" applyFont="1" applyFill="1" applyBorder="1" applyAlignment="1">
      <alignment horizontal="left" vertical="center" wrapText="1" indent="5"/>
    </xf>
    <xf numFmtId="0" fontId="31" fillId="8" borderId="46" xfId="0" applyFont="1" applyFill="1" applyBorder="1" applyAlignment="1">
      <alignment horizontal="left" vertical="center" wrapText="1" indent="5"/>
    </xf>
    <xf numFmtId="0" fontId="33" fillId="8" borderId="43" xfId="0" applyFont="1" applyFill="1" applyBorder="1" applyAlignment="1">
      <alignment vertical="center"/>
    </xf>
    <xf numFmtId="0" fontId="35" fillId="8" borderId="43" xfId="0" applyFont="1" applyFill="1" applyBorder="1" applyAlignment="1">
      <alignment horizontal="left" vertical="center" wrapText="1" indent="5"/>
    </xf>
    <xf numFmtId="0" fontId="35" fillId="8" borderId="46" xfId="0" applyFont="1" applyFill="1" applyBorder="1" applyAlignment="1">
      <alignment horizontal="left" vertical="center" indent="5"/>
    </xf>
    <xf numFmtId="0" fontId="0" fillId="8" borderId="43" xfId="0" applyFill="1" applyBorder="1" applyAlignment="1">
      <alignment vertical="center" wrapText="1"/>
    </xf>
    <xf numFmtId="0" fontId="35" fillId="8" borderId="46" xfId="0" applyFont="1" applyFill="1" applyBorder="1" applyAlignment="1">
      <alignment horizontal="left" vertical="center" wrapText="1" indent="5"/>
    </xf>
    <xf numFmtId="0" fontId="34" fillId="8" borderId="46" xfId="0" applyFont="1" applyFill="1" applyBorder="1" applyAlignment="1">
      <alignment vertical="center" wrapText="1"/>
    </xf>
    <xf numFmtId="0" fontId="33" fillId="8" borderId="44" xfId="0" applyFont="1" applyFill="1" applyBorder="1" applyAlignment="1">
      <alignment vertical="center"/>
    </xf>
    <xf numFmtId="0" fontId="13" fillId="2" borderId="0" xfId="0" applyNumberFormat="1" applyFont="1" applyFill="1"/>
    <xf numFmtId="0" fontId="0" fillId="0" borderId="0" xfId="0" applyNumberFormat="1"/>
    <xf numFmtId="168" fontId="38" fillId="8" borderId="46" xfId="0" applyNumberFormat="1" applyFont="1" applyFill="1" applyBorder="1" applyAlignment="1">
      <alignment horizontal="left" vertical="center"/>
    </xf>
    <xf numFmtId="0" fontId="3" fillId="5" borderId="12" xfId="0" applyFont="1" applyFill="1" applyBorder="1"/>
    <xf numFmtId="164" fontId="13" fillId="7" borderId="47" xfId="0" applyNumberFormat="1" applyFont="1" applyFill="1" applyBorder="1" applyAlignment="1">
      <alignment horizontal="center"/>
    </xf>
    <xf numFmtId="0" fontId="3" fillId="5" borderId="12" xfId="0" applyFont="1" applyFill="1" applyBorder="1" applyAlignment="1">
      <alignment vertical="center" wrapText="1"/>
    </xf>
    <xf numFmtId="0" fontId="2" fillId="2" borderId="0" xfId="0" applyFont="1" applyFill="1"/>
    <xf numFmtId="165" fontId="0" fillId="0" borderId="0" xfId="1" applyNumberFormat="1" applyFont="1"/>
    <xf numFmtId="9" fontId="13" fillId="3" borderId="13" xfId="4" applyNumberFormat="1" applyFont="1" applyFill="1" applyBorder="1" applyAlignment="1">
      <alignment horizontal="center"/>
    </xf>
    <xf numFmtId="165" fontId="13" fillId="3" borderId="13" xfId="1" applyNumberFormat="1" applyFont="1" applyFill="1" applyBorder="1" applyAlignment="1">
      <alignment horizontal="center"/>
    </xf>
    <xf numFmtId="0" fontId="14" fillId="3" borderId="19" xfId="0" applyFont="1" applyFill="1" applyBorder="1" applyAlignment="1">
      <alignment horizontal="center"/>
    </xf>
    <xf numFmtId="0" fontId="14" fillId="2" borderId="0" xfId="0" applyFont="1" applyFill="1" applyBorder="1" applyAlignment="1">
      <alignment vertical="top" wrapText="1"/>
    </xf>
    <xf numFmtId="0" fontId="13" fillId="2" borderId="0" xfId="0" applyFont="1" applyFill="1" applyBorder="1" applyAlignment="1">
      <alignment vertical="top" wrapText="1"/>
    </xf>
    <xf numFmtId="0" fontId="13" fillId="2" borderId="31" xfId="0" applyFont="1" applyFill="1" applyBorder="1" applyAlignment="1"/>
    <xf numFmtId="0" fontId="13" fillId="2" borderId="0" xfId="0" applyFont="1" applyFill="1" applyBorder="1" applyAlignment="1"/>
    <xf numFmtId="0" fontId="14" fillId="2" borderId="0" xfId="0" applyFont="1" applyFill="1" applyBorder="1" applyAlignment="1">
      <alignment horizontal="center"/>
    </xf>
    <xf numFmtId="0" fontId="14" fillId="2" borderId="32" xfId="0" applyFont="1" applyFill="1" applyBorder="1" applyAlignment="1">
      <alignment horizontal="center"/>
    </xf>
    <xf numFmtId="0" fontId="14" fillId="2" borderId="31" xfId="0" applyFont="1" applyFill="1" applyBorder="1" applyAlignment="1"/>
    <xf numFmtId="0" fontId="14" fillId="2" borderId="40" xfId="0" applyFont="1" applyFill="1" applyBorder="1" applyAlignment="1">
      <alignment horizontal="center"/>
    </xf>
    <xf numFmtId="0" fontId="13" fillId="2" borderId="0" xfId="0" applyFont="1" applyFill="1" applyBorder="1" applyAlignment="1">
      <alignment horizontal="right" wrapText="1"/>
    </xf>
    <xf numFmtId="0" fontId="13" fillId="2" borderId="37" xfId="0" applyFont="1" applyFill="1" applyBorder="1" applyAlignment="1">
      <alignment horizontal="right" wrapText="1"/>
    </xf>
    <xf numFmtId="0" fontId="14" fillId="5" borderId="20" xfId="0" applyFont="1" applyFill="1" applyBorder="1" applyAlignment="1">
      <alignment horizontal="center"/>
    </xf>
    <xf numFmtId="168" fontId="15" fillId="5" borderId="14" xfId="0" applyNumberFormat="1" applyFont="1" applyFill="1" applyBorder="1" applyAlignment="1">
      <alignment horizontal="left"/>
    </xf>
    <xf numFmtId="168" fontId="13" fillId="5" borderId="14" xfId="0" applyNumberFormat="1" applyFont="1" applyFill="1" applyBorder="1" applyAlignment="1">
      <alignment horizontal="left"/>
    </xf>
    <xf numFmtId="0" fontId="14" fillId="5" borderId="14" xfId="0" applyFont="1" applyFill="1" applyBorder="1" applyAlignment="1">
      <alignment horizontal="left"/>
    </xf>
    <xf numFmtId="0" fontId="13" fillId="5" borderId="14" xfId="0" applyFont="1" applyFill="1" applyBorder="1" applyAlignment="1">
      <alignment horizontal="left"/>
    </xf>
    <xf numFmtId="0" fontId="3" fillId="5" borderId="14" xfId="0" applyFont="1" applyFill="1" applyBorder="1" applyAlignment="1">
      <alignment horizontal="left"/>
    </xf>
    <xf numFmtId="0" fontId="12" fillId="5" borderId="15" xfId="3" applyFill="1" applyBorder="1" applyAlignment="1" applyProtection="1">
      <alignment horizontal="left"/>
    </xf>
    <xf numFmtId="0" fontId="13" fillId="5" borderId="15" xfId="0" applyFont="1" applyFill="1" applyBorder="1" applyAlignment="1">
      <alignment horizontal="left"/>
    </xf>
    <xf numFmtId="0" fontId="14" fillId="0" borderId="35" xfId="0" applyFont="1" applyBorder="1" applyAlignment="1">
      <alignment horizontal="center" wrapText="1"/>
    </xf>
    <xf numFmtId="0" fontId="14" fillId="0" borderId="7" xfId="0" applyFont="1" applyBorder="1" applyAlignment="1">
      <alignment horizontal="center" wrapText="1"/>
    </xf>
    <xf numFmtId="0" fontId="14" fillId="0" borderId="36" xfId="0" applyFont="1" applyBorder="1" applyAlignment="1">
      <alignment horizontal="center" wrapText="1"/>
    </xf>
    <xf numFmtId="0" fontId="14" fillId="2" borderId="35" xfId="0" applyFont="1" applyFill="1" applyBorder="1" applyAlignment="1">
      <alignment horizontal="center"/>
    </xf>
    <xf numFmtId="0" fontId="14" fillId="2" borderId="7" xfId="0" applyFont="1" applyFill="1" applyBorder="1" applyAlignment="1">
      <alignment horizontal="center"/>
    </xf>
    <xf numFmtId="0" fontId="14" fillId="2" borderId="36" xfId="0" applyFont="1" applyFill="1" applyBorder="1" applyAlignment="1">
      <alignment horizontal="center"/>
    </xf>
    <xf numFmtId="0" fontId="4" fillId="2" borderId="0" xfId="0" applyFont="1" applyFill="1" applyBorder="1" applyAlignment="1">
      <alignment horizontal="right" wrapText="1"/>
    </xf>
    <xf numFmtId="0" fontId="14" fillId="3" borderId="10" xfId="0" applyFont="1" applyFill="1" applyBorder="1" applyAlignment="1">
      <alignment horizontal="center"/>
    </xf>
    <xf numFmtId="0" fontId="13" fillId="0" borderId="1" xfId="0" applyFont="1" applyBorder="1" applyAlignment="1"/>
    <xf numFmtId="0" fontId="13" fillId="0" borderId="17" xfId="0" applyFont="1" applyBorder="1" applyAlignment="1"/>
    <xf numFmtId="0" fontId="14" fillId="2" borderId="11" xfId="0" applyFont="1" applyFill="1" applyBorder="1" applyAlignment="1">
      <alignment horizontal="center"/>
    </xf>
    <xf numFmtId="0" fontId="13" fillId="2" borderId="2" xfId="0" applyFont="1" applyFill="1" applyBorder="1" applyAlignment="1">
      <alignment horizontal="center"/>
    </xf>
    <xf numFmtId="0" fontId="13" fillId="2" borderId="18" xfId="0" applyFont="1" applyFill="1" applyBorder="1" applyAlignment="1">
      <alignment horizontal="center"/>
    </xf>
    <xf numFmtId="0" fontId="5" fillId="2" borderId="0" xfId="0" applyFont="1" applyFill="1" applyAlignment="1">
      <alignment horizontal="left" vertical="center" wrapText="1"/>
    </xf>
    <xf numFmtId="0" fontId="22" fillId="2" borderId="0" xfId="0" applyFont="1" applyFill="1" applyAlignment="1">
      <alignment horizontal="left" vertical="center" wrapText="1"/>
    </xf>
    <xf numFmtId="0" fontId="0" fillId="2" borderId="0" xfId="0" applyFill="1" applyAlignment="1">
      <alignment wrapText="1"/>
    </xf>
    <xf numFmtId="0" fontId="6" fillId="2" borderId="32"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9525</xdr:colOff>
      <xdr:row>34</xdr:row>
      <xdr:rowOff>31751</xdr:rowOff>
    </xdr:from>
    <xdr:to>
      <xdr:col>9</xdr:col>
      <xdr:colOff>638175</xdr:colOff>
      <xdr:row>62</xdr:row>
      <xdr:rowOff>9525</xdr:rowOff>
    </xdr:to>
    <xdr:sp macro="" textlink="">
      <xdr:nvSpPr>
        <xdr:cNvPr id="2" name="TextBox 1"/>
        <xdr:cNvSpPr txBox="1"/>
      </xdr:nvSpPr>
      <xdr:spPr>
        <a:xfrm>
          <a:off x="219075" y="7766051"/>
          <a:ext cx="8162925" cy="5311774"/>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Excerpted from</a:t>
          </a:r>
          <a:r>
            <a:rPr lang="en-US" sz="1100" baseline="0">
              <a:solidFill>
                <a:schemeClr val="dk1"/>
              </a:solidFill>
              <a:effectLst/>
              <a:latin typeface="+mn-lt"/>
              <a:ea typeface="+mn-ea"/>
              <a:cs typeface="+mn-cs"/>
            </a:rPr>
            <a:t> PSE's 2012-2013 Biennial Conservation Filing Exhibit "Ten-year Potential &amp; Two-year Target".  The complete document is available on the state of Washington Utilities and Transportation Commission website, under Docket No. UE-111881: </a:t>
          </a:r>
          <a:endParaRPr lang="en-US">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ten-year cumulative conservation potential consists of the optimized level of energy use and distribution system conservation potential selected by PSE's resource portfolio model for the 2011 Integrated Resource Plan (IRP).   The combined total of 2011 IRP potential plus production facility efficiency represents the total amount of conservation that is technically available, cost-effective, and achievable in the long run, based on the best information and analysis available. </a:t>
          </a:r>
          <a:endParaRPr lang="en-US">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methodology used to determine these potentials was consistent with that used by the Council to develop the 6</a:t>
          </a:r>
          <a:r>
            <a:rPr lang="en-US" sz="1100" baseline="30000">
              <a:solidFill>
                <a:schemeClr val="dk1"/>
              </a:solidFill>
              <a:effectLst/>
              <a:latin typeface="+mn-lt"/>
              <a:ea typeface="+mn-ea"/>
              <a:cs typeface="+mn-cs"/>
            </a:rPr>
            <a:t>th</a:t>
          </a:r>
          <a:r>
            <a:rPr lang="en-US" sz="1100">
              <a:solidFill>
                <a:schemeClr val="dk1"/>
              </a:solidFill>
              <a:effectLst/>
              <a:latin typeface="+mn-lt"/>
              <a:ea typeface="+mn-ea"/>
              <a:cs typeface="+mn-cs"/>
            </a:rPr>
            <a:t> Northwest Power Plan.  The conservation potential was built with a bottom-up approach, using individual energy-efficient technologies applied to appropriate end uses and building types to determine technical, economic, achievable potential. </a:t>
          </a:r>
          <a:endParaRPr lang="en-US">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RCW 19.285.040 requires that, once the ten-year conservation potential has been developed, utilities shall set a biennial electric conservation acquisition target which is no lower than the utility’s two-year pro rata share of its ten-year potential.</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The WAC rule for setting the biennial target defines “pro rata” simply as “the calculation used to establish a minimum level for a conservation target” (WAC 480-109-007 (14)) and requires that the utility must document how the ten-year cumulative conservation potential was prorated (WAC 480-109-010 (2)).</a:t>
          </a:r>
          <a:endParaRPr lang="en-US">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conservation potential in PSE’s 2011 IRP assumes that all retrofit end use energy efficiency and fuel conversion potential is accelerated into a ten year period, while other types of conservation or demand-side resources are ramped in more gradually over time over natural measure life cycles or customer growth rates.  This is consistent with previous IRPs and is intended as a general planning assumption to demonstrate that there is value to acquiring these resources as quickly as realistically possible, but that they cannot be acquired immediately. </a:t>
          </a:r>
          <a:endParaRPr lang="en-US">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conservation potential includes electricity savings from all possible sources: utility programs, codes and standards, market transformation, and adoption of conservation measures outside of any programs or code requirements.  Some conservation potential is therefore outside of PSE’s control and ability to measure.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It is also not possible for a conservation potential assessment to fully capture all the market feasibility and uncertainty factors that can affect real-world program design and implementation. </a:t>
          </a:r>
          <a:endParaRPr lang="en-US">
            <a:effectLst/>
          </a:endParaRPr>
        </a:p>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1</xdr:col>
      <xdr:colOff>0</xdr:colOff>
      <xdr:row>66</xdr:row>
      <xdr:rowOff>0</xdr:rowOff>
    </xdr:from>
    <xdr:to>
      <xdr:col>9</xdr:col>
      <xdr:colOff>647700</xdr:colOff>
      <xdr:row>109</xdr:row>
      <xdr:rowOff>76201</xdr:rowOff>
    </xdr:to>
    <xdr:sp macro="" textlink="">
      <xdr:nvSpPr>
        <xdr:cNvPr id="6" name="TextBox 5"/>
        <xdr:cNvSpPr txBox="1"/>
      </xdr:nvSpPr>
      <xdr:spPr>
        <a:xfrm>
          <a:off x="209550" y="13611225"/>
          <a:ext cx="8181975" cy="7038976"/>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1) PSE exceeded its biennial electric</a:t>
          </a:r>
          <a:r>
            <a:rPr lang="en-US" sz="1100" baseline="0">
              <a:solidFill>
                <a:schemeClr val="dk1"/>
              </a:solidFill>
              <a:effectLst/>
              <a:latin typeface="+mn-lt"/>
              <a:ea typeface="+mn-ea"/>
              <a:cs typeface="+mn-cs"/>
            </a:rPr>
            <a:t> target by +32,141 MWh while prudently managing ratepayer funding</a:t>
          </a:r>
          <a:r>
            <a:rPr lang="en-US" sz="1100" b="1" baseline="0">
              <a:solidFill>
                <a:schemeClr val="dk1"/>
              </a:solidFill>
              <a:effectLst/>
              <a:latin typeface="+mn-lt"/>
              <a:ea typeface="+mn-ea"/>
              <a:cs typeface="+mn-cs"/>
            </a:rPr>
            <a:t>.</a:t>
          </a:r>
          <a:endParaRPr lang="en-US">
            <a:effectLst/>
          </a:endParaRPr>
        </a:p>
        <a:p>
          <a:r>
            <a:rPr lang="en-US" sz="1100" baseline="0">
              <a:solidFill>
                <a:schemeClr val="dk1"/>
              </a:solidFill>
              <a:effectLst/>
              <a:latin typeface="+mn-lt"/>
              <a:ea typeface="+mn-ea"/>
              <a:cs typeface="+mn-cs"/>
            </a:rPr>
            <a:t>2)</a:t>
          </a:r>
          <a:r>
            <a:rPr lang="en-US" sz="1100">
              <a:solidFill>
                <a:schemeClr val="dk1"/>
              </a:solidFill>
              <a:effectLst/>
              <a:latin typeface="+mn-lt"/>
              <a:ea typeface="+mn-ea"/>
              <a:cs typeface="+mn-cs"/>
            </a:rPr>
            <a:t> PSE does not track conservation achievement and expenditures</a:t>
          </a:r>
          <a:r>
            <a:rPr lang="en-US" sz="1100" baseline="0">
              <a:solidFill>
                <a:schemeClr val="dk1"/>
              </a:solidFill>
              <a:effectLst/>
              <a:latin typeface="+mn-lt"/>
              <a:ea typeface="+mn-ea"/>
              <a:cs typeface="+mn-cs"/>
            </a:rPr>
            <a:t> by industrial or agricultural sectors.</a:t>
          </a:r>
          <a:endParaRPr lang="en-US">
            <a:effectLst/>
          </a:endParaRPr>
        </a:p>
        <a:p>
          <a:r>
            <a:rPr lang="en-US" sz="1100"/>
            <a:t>3) The total</a:t>
          </a:r>
          <a:r>
            <a:rPr lang="en-US" sz="1100" baseline="0"/>
            <a:t> savings figure indicated represents total electric savings reported by PSE in each of its Annual Reports, with adjustments of:</a:t>
          </a:r>
        </a:p>
        <a:p>
          <a:r>
            <a:rPr lang="en-US" sz="1100" baseline="0"/>
            <a:t>	a) -4,243 Megawatt-hours, resulting from findings in the 2012-2013 Biennial Electric Conservation Achievement Report:</a:t>
          </a:r>
        </a:p>
        <a:p>
          <a:r>
            <a:rPr lang="en-US" sz="1100" baseline="0"/>
            <a:t>		i) -187 MWh: Heat Pump Sizing and Lockout Controls</a:t>
          </a:r>
        </a:p>
        <a:p>
          <a:r>
            <a:rPr lang="en-US" sz="1100" baseline="0"/>
            <a:t>		ii) -2,255 MWh: Indoor LED Fixtures</a:t>
          </a:r>
        </a:p>
        <a:p>
          <a:r>
            <a:rPr lang="en-US" sz="1100" baseline="0"/>
            <a:t>		iii) -1,801 MWh: Outdoor LED Fixtures</a:t>
          </a:r>
        </a:p>
        <a:p>
          <a:r>
            <a:rPr lang="en-US" sz="1100" baseline="0"/>
            <a:t>	b) + 1,501 MWh, resulting from adjustments for Home Energy Reports 2012 and 2013 impact evaluations, indicating under</a:t>
          </a:r>
        </a:p>
        <a:p>
          <a:r>
            <a:rPr lang="en-US" sz="1100" baseline="0"/>
            <a:t>	     reporting of savings:</a:t>
          </a:r>
        </a:p>
        <a:p>
          <a:r>
            <a:rPr lang="en-US" sz="1100" baseline="0"/>
            <a:t>		i) 2012: under-reported by  </a:t>
          </a:r>
        </a:p>
        <a:p>
          <a:r>
            <a:rPr lang="en-US" sz="1100" baseline="0"/>
            <a:t>		ii) 2013: under-reported by  </a:t>
          </a:r>
        </a:p>
        <a:p>
          <a:endParaRPr lang="en-US" sz="1100" baseline="0"/>
        </a:p>
        <a:p>
          <a:r>
            <a:rPr lang="en-US" sz="1100" baseline="0"/>
            <a:t>4) 2014-2015 overall conservation target includes several elements.  This table was included in PSE's 2014-2015 Biennial Conservation Plan:</a:t>
          </a:r>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endParaRPr lang="en-US" sz="1100"/>
        </a:p>
        <a:p>
          <a:r>
            <a:rPr lang="en-US" sz="1100"/>
            <a:t>5) Subsequent to the UTC's 2012-2013 biennial achievement</a:t>
          </a:r>
          <a:r>
            <a:rPr lang="en-US" sz="1100" baseline="0"/>
            <a:t> review open meeting on July 25, 2014, PSE re-filed its Department of Commerce biennial achievement report, indicating actual NEEA savings of 123,254 MWh attributed to the PSE territory.  The initially reported value of 38,800 MWh reflected the NEEA deemed value that was set in the 2012-2013 biennial target in collaboration with PSE's advisory group and approved by the UTC in Docket UE-111881.  This value was calculated based on 75% of the original NEEA forecast, and is intended to ensure that PSE neither benefits from NEEA exceeding its estimate, nor is penalized if NEEA falls short of its savings estimates.  A letter summarizing this Department of Commerce adjustment will also be filed into Docket UE-111881.</a:t>
          </a:r>
          <a:endParaRPr lang="en-US" sz="1100"/>
        </a:p>
        <a:p>
          <a:endParaRPr lang="en-US" sz="1100"/>
        </a:p>
        <a:p>
          <a:endParaRPr lang="en-US" sz="1100"/>
        </a:p>
        <a:p>
          <a:endParaRPr lang="en-US" sz="1100"/>
        </a:p>
      </xdr:txBody>
    </xdr:sp>
    <xdr:clientData/>
  </xdr:twoCellAnchor>
  <xdr:twoCellAnchor editAs="oneCell">
    <xdr:from>
      <xdr:col>1</xdr:col>
      <xdr:colOff>990601</xdr:colOff>
      <xdr:row>80</xdr:row>
      <xdr:rowOff>28575</xdr:rowOff>
    </xdr:from>
    <xdr:to>
      <xdr:col>8</xdr:col>
      <xdr:colOff>352426</xdr:colOff>
      <xdr:row>100</xdr:row>
      <xdr:rowOff>152400</xdr:rowOff>
    </xdr:to>
    <xdr:pic>
      <xdr:nvPicPr>
        <xdr:cNvPr id="7" name="Picture 6"/>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1" y="15906750"/>
          <a:ext cx="6076950" cy="33623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workbookViewId="0"/>
  </sheetViews>
  <sheetFormatPr defaultRowHeight="15" x14ac:dyDescent="0.25"/>
  <cols>
    <col min="1" max="1" width="135.140625" customWidth="1"/>
    <col min="14" max="14" width="11.7109375" customWidth="1"/>
  </cols>
  <sheetData>
    <row r="1" spans="1:14" ht="18.75" x14ac:dyDescent="0.25">
      <c r="A1" s="125" t="s">
        <v>178</v>
      </c>
    </row>
    <row r="2" spans="1:14" x14ac:dyDescent="0.25">
      <c r="A2" s="144" t="s">
        <v>219</v>
      </c>
    </row>
    <row r="3" spans="1:14" x14ac:dyDescent="0.25">
      <c r="A3" s="126"/>
      <c r="N3" s="143"/>
    </row>
    <row r="4" spans="1:14" x14ac:dyDescent="0.25">
      <c r="A4" s="127" t="s">
        <v>179</v>
      </c>
    </row>
    <row r="5" spans="1:14" x14ac:dyDescent="0.25">
      <c r="A5" s="127" t="s">
        <v>180</v>
      </c>
      <c r="N5">
        <f>IF(REN_Load_2012+REN_Load_2013&gt;0,AVERAGE(REN_Load_2012,REN_Load_2013),0)</f>
        <v>21173388</v>
      </c>
    </row>
    <row r="6" spans="1:14" x14ac:dyDescent="0.25">
      <c r="A6" s="128" t="s">
        <v>181</v>
      </c>
    </row>
    <row r="7" spans="1:14" x14ac:dyDescent="0.25">
      <c r="A7" s="126"/>
    </row>
    <row r="8" spans="1:14" ht="28.5" x14ac:dyDescent="0.25">
      <c r="A8" s="129" t="s">
        <v>182</v>
      </c>
    </row>
    <row r="9" spans="1:14" ht="28.5" x14ac:dyDescent="0.25">
      <c r="A9" s="129" t="s">
        <v>183</v>
      </c>
    </row>
    <row r="10" spans="1:14" x14ac:dyDescent="0.25">
      <c r="A10" s="129"/>
    </row>
    <row r="11" spans="1:14" x14ac:dyDescent="0.25">
      <c r="A11" s="130" t="s">
        <v>184</v>
      </c>
    </row>
    <row r="12" spans="1:14" x14ac:dyDescent="0.25">
      <c r="A12" s="126"/>
    </row>
    <row r="13" spans="1:14" ht="72.75" x14ac:dyDescent="0.25">
      <c r="A13" s="131" t="s">
        <v>185</v>
      </c>
    </row>
    <row r="14" spans="1:14" x14ac:dyDescent="0.25">
      <c r="A14" s="126"/>
    </row>
    <row r="15" spans="1:14" ht="29.25" x14ac:dyDescent="0.25">
      <c r="A15" s="128" t="s">
        <v>186</v>
      </c>
    </row>
    <row r="16" spans="1:14" x14ac:dyDescent="0.25">
      <c r="A16" s="131"/>
    </row>
    <row r="17" spans="1:1" x14ac:dyDescent="0.25">
      <c r="A17" s="126"/>
    </row>
    <row r="18" spans="1:1" ht="18.75" x14ac:dyDescent="0.25">
      <c r="A18" s="132" t="s">
        <v>187</v>
      </c>
    </row>
    <row r="19" spans="1:1" x14ac:dyDescent="0.25">
      <c r="A19" s="127" t="s">
        <v>188</v>
      </c>
    </row>
    <row r="20" spans="1:1" ht="28.5" x14ac:dyDescent="0.25">
      <c r="A20" s="133" t="s">
        <v>189</v>
      </c>
    </row>
    <row r="21" spans="1:1" x14ac:dyDescent="0.25">
      <c r="A21" s="134" t="s">
        <v>190</v>
      </c>
    </row>
    <row r="22" spans="1:1" x14ac:dyDescent="0.25">
      <c r="A22" s="126"/>
    </row>
    <row r="23" spans="1:1" x14ac:dyDescent="0.25">
      <c r="A23" s="135" t="s">
        <v>191</v>
      </c>
    </row>
    <row r="24" spans="1:1" ht="29.25" x14ac:dyDescent="0.25">
      <c r="A24" s="136" t="s">
        <v>192</v>
      </c>
    </row>
    <row r="25" spans="1:1" x14ac:dyDescent="0.25">
      <c r="A25" s="137" t="s">
        <v>193</v>
      </c>
    </row>
    <row r="26" spans="1:1" x14ac:dyDescent="0.25">
      <c r="A26" s="126"/>
    </row>
    <row r="27" spans="1:1" ht="43.5" x14ac:dyDescent="0.25">
      <c r="A27" s="127" t="s">
        <v>194</v>
      </c>
    </row>
    <row r="28" spans="1:1" x14ac:dyDescent="0.25">
      <c r="A28" s="138"/>
    </row>
    <row r="29" spans="1:1" ht="42.75" x14ac:dyDescent="0.25">
      <c r="A29" s="131" t="s">
        <v>195</v>
      </c>
    </row>
    <row r="30" spans="1:1" x14ac:dyDescent="0.25">
      <c r="A30" s="126"/>
    </row>
    <row r="31" spans="1:1" ht="43.5" x14ac:dyDescent="0.25">
      <c r="A31" s="128" t="s">
        <v>196</v>
      </c>
    </row>
    <row r="32" spans="1:1" x14ac:dyDescent="0.25">
      <c r="A32" s="126"/>
    </row>
    <row r="33" spans="1:1" ht="57.75" x14ac:dyDescent="0.25">
      <c r="A33" s="127" t="s">
        <v>197</v>
      </c>
    </row>
    <row r="34" spans="1:1" x14ac:dyDescent="0.25">
      <c r="A34" s="129"/>
    </row>
    <row r="35" spans="1:1" ht="28.5" x14ac:dyDescent="0.25">
      <c r="A35" s="129" t="s">
        <v>198</v>
      </c>
    </row>
    <row r="36" spans="1:1" x14ac:dyDescent="0.25">
      <c r="A36" s="136" t="s">
        <v>199</v>
      </c>
    </row>
    <row r="37" spans="1:1" x14ac:dyDescent="0.25">
      <c r="A37" s="136" t="s">
        <v>200</v>
      </c>
    </row>
    <row r="38" spans="1:1" x14ac:dyDescent="0.25">
      <c r="A38" s="139" t="s">
        <v>201</v>
      </c>
    </row>
    <row r="39" spans="1:1" x14ac:dyDescent="0.25">
      <c r="A39" s="126"/>
    </row>
    <row r="40" spans="1:1" ht="29.25" x14ac:dyDescent="0.25">
      <c r="A40" s="128" t="s">
        <v>202</v>
      </c>
    </row>
    <row r="41" spans="1:1" x14ac:dyDescent="0.25">
      <c r="A41" s="126"/>
    </row>
    <row r="42" spans="1:1" ht="18.75" x14ac:dyDescent="0.25">
      <c r="A42" s="132" t="s">
        <v>203</v>
      </c>
    </row>
    <row r="43" spans="1:1" ht="42.75" x14ac:dyDescent="0.25">
      <c r="A43" s="131" t="s">
        <v>204</v>
      </c>
    </row>
    <row r="44" spans="1:1" x14ac:dyDescent="0.25">
      <c r="A44" s="126"/>
    </row>
    <row r="45" spans="1:1" ht="43.5" x14ac:dyDescent="0.25">
      <c r="A45" s="128" t="s">
        <v>205</v>
      </c>
    </row>
    <row r="46" spans="1:1" x14ac:dyDescent="0.25">
      <c r="A46" s="126"/>
    </row>
    <row r="47" spans="1:1" ht="43.5" x14ac:dyDescent="0.25">
      <c r="A47" s="128" t="s">
        <v>206</v>
      </c>
    </row>
    <row r="48" spans="1:1" x14ac:dyDescent="0.25">
      <c r="A48" s="126"/>
    </row>
    <row r="49" spans="1:1" ht="43.5" x14ac:dyDescent="0.25">
      <c r="A49" s="128" t="s">
        <v>207</v>
      </c>
    </row>
    <row r="50" spans="1:1" x14ac:dyDescent="0.25">
      <c r="A50" s="126"/>
    </row>
    <row r="51" spans="1:1" x14ac:dyDescent="0.25">
      <c r="A51" s="127" t="s">
        <v>208</v>
      </c>
    </row>
    <row r="52" spans="1:1" ht="42.75" x14ac:dyDescent="0.25">
      <c r="A52" s="131" t="s">
        <v>209</v>
      </c>
    </row>
    <row r="53" spans="1:1" x14ac:dyDescent="0.25">
      <c r="A53" s="126"/>
    </row>
    <row r="54" spans="1:1" ht="57.75" x14ac:dyDescent="0.25">
      <c r="A54" s="140" t="s">
        <v>210</v>
      </c>
    </row>
    <row r="55" spans="1:1" x14ac:dyDescent="0.25">
      <c r="A55" s="126"/>
    </row>
    <row r="56" spans="1:1" ht="72" x14ac:dyDescent="0.25">
      <c r="A56" s="128" t="s">
        <v>211</v>
      </c>
    </row>
    <row r="57" spans="1:1" x14ac:dyDescent="0.25">
      <c r="A57" s="126"/>
    </row>
    <row r="58" spans="1:1" ht="57.75" x14ac:dyDescent="0.25">
      <c r="A58" s="128" t="s">
        <v>212</v>
      </c>
    </row>
    <row r="59" spans="1:1" x14ac:dyDescent="0.25">
      <c r="A59" s="126"/>
    </row>
    <row r="60" spans="1:1" x14ac:dyDescent="0.25">
      <c r="A60" s="127" t="s">
        <v>213</v>
      </c>
    </row>
    <row r="61" spans="1:1" ht="42.75" x14ac:dyDescent="0.25">
      <c r="A61" s="131" t="s">
        <v>214</v>
      </c>
    </row>
    <row r="62" spans="1:1" x14ac:dyDescent="0.25">
      <c r="A62" s="126"/>
    </row>
    <row r="63" spans="1:1" x14ac:dyDescent="0.25">
      <c r="A63" s="127" t="s">
        <v>215</v>
      </c>
    </row>
    <row r="64" spans="1:1" ht="42.75" x14ac:dyDescent="0.25">
      <c r="A64" s="131" t="s">
        <v>216</v>
      </c>
    </row>
    <row r="65" spans="1:1" x14ac:dyDescent="0.25">
      <c r="A65" s="126"/>
    </row>
    <row r="66" spans="1:1" ht="15.75" thickBot="1" x14ac:dyDescent="0.3">
      <c r="A66" s="141"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21" t="s">
        <v>176</v>
      </c>
    </row>
    <row r="2" spans="1:14" ht="18.75" x14ac:dyDescent="0.25">
      <c r="A2" s="122"/>
    </row>
    <row r="3" spans="1:14" ht="57" x14ac:dyDescent="0.25">
      <c r="A3" s="123" t="s">
        <v>218</v>
      </c>
      <c r="N3" s="143"/>
    </row>
    <row r="4" spans="1:14" x14ac:dyDescent="0.25">
      <c r="A4" s="123"/>
    </row>
    <row r="5" spans="1:14" ht="29.25" thickBot="1" x14ac:dyDescent="0.3">
      <c r="A5" s="124" t="s">
        <v>177</v>
      </c>
      <c r="N5">
        <f>IF(REN_Load_2012+REN_Load_2013&gt;0,AVERAGE(REN_Load_2012,REN_Load_2013),0)</f>
        <v>21173388</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sheetPr>
  <dimension ref="A1:N66"/>
  <sheetViews>
    <sheetView tabSelected="1" zoomScaleNormal="100" workbookViewId="0">
      <selection activeCell="G23" sqref="G23"/>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90" t="s">
        <v>77</v>
      </c>
    </row>
    <row r="2" spans="1:14" ht="15" customHeight="1" x14ac:dyDescent="0.2">
      <c r="B2" s="2"/>
    </row>
    <row r="3" spans="1:14" ht="14.25" customHeight="1" thickBot="1" x14ac:dyDescent="0.25">
      <c r="B3" s="3" t="s">
        <v>4</v>
      </c>
      <c r="C3" s="163" t="s">
        <v>220</v>
      </c>
      <c r="D3" s="163"/>
      <c r="E3" s="163"/>
      <c r="G3" s="160" t="s">
        <v>85</v>
      </c>
      <c r="H3" s="160"/>
      <c r="I3" s="160"/>
      <c r="J3" s="160"/>
      <c r="N3" s="142"/>
    </row>
    <row r="4" spans="1:14" ht="15" customHeight="1" x14ac:dyDescent="0.2">
      <c r="B4" s="4" t="s">
        <v>84</v>
      </c>
      <c r="C4" s="164" t="s">
        <v>231</v>
      </c>
      <c r="D4" s="165"/>
      <c r="E4" s="165"/>
      <c r="F4" s="16"/>
      <c r="H4" s="110" t="s">
        <v>81</v>
      </c>
      <c r="I4" s="109"/>
      <c r="J4" s="110" t="s">
        <v>82</v>
      </c>
    </row>
    <row r="5" spans="1:14" ht="15" customHeight="1" x14ac:dyDescent="0.2">
      <c r="B5" s="5" t="s">
        <v>83</v>
      </c>
      <c r="C5" s="166" t="s">
        <v>221</v>
      </c>
      <c r="D5" s="167"/>
      <c r="E5" s="167"/>
      <c r="F5" s="7"/>
      <c r="H5" s="108" t="s">
        <v>80</v>
      </c>
      <c r="J5" s="108" t="s">
        <v>80</v>
      </c>
      <c r="N5" s="1">
        <f>IF(REN_Load_2012+REN_Load_2013&gt;0,AVERAGE(REN_Load_2012,REN_Load_2013),0)</f>
        <v>21173388</v>
      </c>
    </row>
    <row r="6" spans="1:14" ht="15" customHeight="1" x14ac:dyDescent="0.2">
      <c r="B6" s="5" t="s">
        <v>1</v>
      </c>
      <c r="C6" s="168" t="s">
        <v>222</v>
      </c>
      <c r="D6" s="167"/>
      <c r="E6" s="167"/>
      <c r="F6" s="7"/>
      <c r="G6" s="92" t="s">
        <v>66</v>
      </c>
      <c r="H6" s="93">
        <f>CON_Target_2012_2013</f>
        <v>666000</v>
      </c>
      <c r="I6" s="92" t="s">
        <v>66</v>
      </c>
      <c r="J6" s="94">
        <f>CON_Target_2014_2015</f>
        <v>621120</v>
      </c>
    </row>
    <row r="7" spans="1:14" ht="15" customHeight="1" x14ac:dyDescent="0.2">
      <c r="B7" s="5" t="s">
        <v>2</v>
      </c>
      <c r="C7" s="169" t="s">
        <v>223</v>
      </c>
      <c r="D7" s="170"/>
      <c r="E7" s="170"/>
      <c r="F7" s="7"/>
      <c r="G7" s="92" t="s">
        <v>67</v>
      </c>
      <c r="H7" s="95">
        <f>CON_2012_MWH+CON_2013_MWH</f>
        <v>782591</v>
      </c>
    </row>
    <row r="8" spans="1:14" ht="15" customHeight="1" thickBot="1" x14ac:dyDescent="0.25">
      <c r="B8" s="5"/>
      <c r="C8" s="91"/>
      <c r="D8" s="7"/>
      <c r="E8" s="7"/>
      <c r="F8" s="7"/>
      <c r="G8" s="92" t="s">
        <v>68</v>
      </c>
      <c r="H8" s="96">
        <f>-(H6-H7)</f>
        <v>116591</v>
      </c>
    </row>
    <row r="9" spans="1:14" s="7" customFormat="1" ht="13.5" thickTop="1" x14ac:dyDescent="0.2">
      <c r="B9" s="155" t="s">
        <v>69</v>
      </c>
      <c r="C9" s="155"/>
      <c r="D9" s="155"/>
      <c r="E9" s="155"/>
      <c r="F9" s="156"/>
    </row>
    <row r="10" spans="1:14" s="7" customFormat="1" x14ac:dyDescent="0.2">
      <c r="B10" s="157" t="s">
        <v>36</v>
      </c>
      <c r="C10" s="158"/>
      <c r="D10" s="158" t="s">
        <v>72</v>
      </c>
      <c r="E10" s="158"/>
    </row>
    <row r="11" spans="1:14" ht="52.5" customHeight="1" x14ac:dyDescent="0.2">
      <c r="B11" s="97" t="s">
        <v>75</v>
      </c>
      <c r="C11" s="17" t="s">
        <v>51</v>
      </c>
      <c r="D11" s="17" t="s">
        <v>74</v>
      </c>
      <c r="E11" s="98" t="s">
        <v>73</v>
      </c>
    </row>
    <row r="12" spans="1:14" ht="15" customHeight="1" x14ac:dyDescent="0.2">
      <c r="B12" s="99">
        <v>3531508</v>
      </c>
      <c r="C12" s="100">
        <v>666000</v>
      </c>
      <c r="D12" s="100">
        <v>2730408</v>
      </c>
      <c r="E12" s="101">
        <v>621120</v>
      </c>
      <c r="F12" s="148" t="s">
        <v>227</v>
      </c>
    </row>
    <row r="13" spans="1:14" ht="15" customHeight="1" thickBot="1" x14ac:dyDescent="0.25">
      <c r="B13" s="7"/>
      <c r="C13" s="7"/>
      <c r="D13" s="7"/>
      <c r="E13" s="7"/>
      <c r="F13" s="7"/>
      <c r="G13" s="7"/>
      <c r="H13" s="7"/>
    </row>
    <row r="14" spans="1:14" ht="13.5" thickTop="1" x14ac:dyDescent="0.2">
      <c r="B14" s="159" t="s">
        <v>3</v>
      </c>
      <c r="C14" s="159"/>
      <c r="D14" s="159"/>
      <c r="E14" s="159"/>
      <c r="F14" s="159"/>
      <c r="G14" s="159"/>
      <c r="H14" s="159"/>
    </row>
    <row r="15" spans="1:14" ht="15" customHeight="1" x14ac:dyDescent="0.2">
      <c r="A15" s="7"/>
      <c r="B15" s="18"/>
      <c r="D15" s="158" t="s">
        <v>49</v>
      </c>
      <c r="E15" s="158"/>
      <c r="G15" s="158" t="s">
        <v>71</v>
      </c>
      <c r="H15" s="158"/>
    </row>
    <row r="16" spans="1:14" ht="30.75" customHeight="1" x14ac:dyDescent="0.2">
      <c r="A16" s="7"/>
      <c r="C16" s="19" t="s">
        <v>43</v>
      </c>
      <c r="D16" s="17" t="s">
        <v>7</v>
      </c>
      <c r="E16" s="17" t="s">
        <v>8</v>
      </c>
      <c r="G16" s="17" t="s">
        <v>7</v>
      </c>
      <c r="H16" s="17" t="s">
        <v>8</v>
      </c>
    </row>
    <row r="17" spans="1:8" ht="15" customHeight="1" x14ac:dyDescent="0.2">
      <c r="A17" s="7"/>
      <c r="C17" s="35" t="s">
        <v>9</v>
      </c>
      <c r="D17" s="102">
        <v>154840</v>
      </c>
      <c r="E17" s="113">
        <v>40381507</v>
      </c>
      <c r="G17" s="102">
        <v>168684</v>
      </c>
      <c r="H17" s="113">
        <v>50106708</v>
      </c>
    </row>
    <row r="18" spans="1:8" ht="15" customHeight="1" x14ac:dyDescent="0.2">
      <c r="A18" s="7"/>
      <c r="C18" s="35" t="s">
        <v>10</v>
      </c>
      <c r="D18" s="102">
        <v>166747</v>
      </c>
      <c r="E18" s="113">
        <v>40514727</v>
      </c>
      <c r="G18" s="102">
        <v>167737</v>
      </c>
      <c r="H18" s="113">
        <v>37587949</v>
      </c>
    </row>
    <row r="19" spans="1:8" ht="15" customHeight="1" x14ac:dyDescent="0.2">
      <c r="A19" s="7"/>
      <c r="C19" s="35" t="s">
        <v>11</v>
      </c>
      <c r="D19" s="102"/>
      <c r="E19" s="113"/>
      <c r="G19" s="102"/>
      <c r="H19" s="113"/>
    </row>
    <row r="20" spans="1:8" ht="15" customHeight="1" x14ac:dyDescent="0.2">
      <c r="A20" s="7"/>
      <c r="C20" s="35" t="s">
        <v>12</v>
      </c>
      <c r="D20" s="102"/>
      <c r="E20" s="113"/>
      <c r="G20" s="102"/>
      <c r="H20" s="113"/>
    </row>
    <row r="21" spans="1:8" ht="15" customHeight="1" x14ac:dyDescent="0.2">
      <c r="A21" s="7"/>
      <c r="C21" s="35" t="s">
        <v>38</v>
      </c>
      <c r="D21" s="102"/>
      <c r="E21" s="113"/>
      <c r="G21" s="102"/>
      <c r="H21" s="113"/>
    </row>
    <row r="22" spans="1:8" ht="15" customHeight="1" x14ac:dyDescent="0.2">
      <c r="A22" s="7"/>
      <c r="C22" s="36" t="s">
        <v>39</v>
      </c>
      <c r="D22" s="102"/>
      <c r="E22" s="113"/>
      <c r="G22" s="102"/>
      <c r="H22" s="113"/>
    </row>
    <row r="23" spans="1:8" ht="15" customHeight="1" x14ac:dyDescent="0.2">
      <c r="A23" s="7"/>
      <c r="C23" s="36" t="s">
        <v>5</v>
      </c>
      <c r="D23" s="103">
        <v>59218</v>
      </c>
      <c r="E23" s="113">
        <v>4687146</v>
      </c>
      <c r="G23" s="103">
        <v>64036</v>
      </c>
      <c r="H23" s="113">
        <v>4574812</v>
      </c>
    </row>
    <row r="24" spans="1:8" ht="15" customHeight="1" x14ac:dyDescent="0.2">
      <c r="A24" s="7"/>
      <c r="C24" s="145" t="s">
        <v>224</v>
      </c>
      <c r="D24" s="103"/>
      <c r="E24" s="113"/>
      <c r="G24" s="103">
        <v>1329</v>
      </c>
      <c r="H24" s="113"/>
    </row>
    <row r="25" spans="1:8" ht="15" customHeight="1" x14ac:dyDescent="0.2">
      <c r="A25" s="7"/>
      <c r="C25" s="104"/>
      <c r="D25" s="103"/>
      <c r="E25" s="113"/>
      <c r="G25" s="103"/>
      <c r="H25" s="113"/>
    </row>
    <row r="26" spans="1:8" ht="30.75" customHeight="1" x14ac:dyDescent="0.2">
      <c r="A26" s="7"/>
      <c r="B26" s="161" t="s">
        <v>70</v>
      </c>
      <c r="C26" s="162"/>
      <c r="E26" s="114"/>
      <c r="H26" s="114"/>
    </row>
    <row r="27" spans="1:8" ht="15" customHeight="1" x14ac:dyDescent="0.2">
      <c r="A27" s="7"/>
      <c r="C27" s="147" t="s">
        <v>225</v>
      </c>
      <c r="D27" s="111"/>
      <c r="E27" s="113">
        <v>2593348</v>
      </c>
      <c r="G27" s="111"/>
      <c r="H27" s="113">
        <v>2585005</v>
      </c>
    </row>
    <row r="28" spans="1:8" ht="27.75" customHeight="1" x14ac:dyDescent="0.2">
      <c r="A28" s="7"/>
      <c r="C28" s="147" t="s">
        <v>226</v>
      </c>
      <c r="D28" s="146"/>
      <c r="E28" s="113">
        <v>2945796</v>
      </c>
      <c r="G28" s="146"/>
      <c r="H28" s="113">
        <v>3296502</v>
      </c>
    </row>
    <row r="29" spans="1:8" ht="15" customHeight="1" x14ac:dyDescent="0.2">
      <c r="A29" s="7"/>
      <c r="C29" s="105"/>
      <c r="D29" s="112"/>
      <c r="E29" s="113"/>
      <c r="G29" s="112"/>
      <c r="H29" s="113"/>
    </row>
    <row r="30" spans="1:8" ht="15" customHeight="1" x14ac:dyDescent="0.2">
      <c r="C30" s="37" t="s">
        <v>6</v>
      </c>
      <c r="D30" s="34">
        <f>SUM(D17:D25)</f>
        <v>380805</v>
      </c>
      <c r="E30" s="115">
        <f>SUM(E17:E29)</f>
        <v>91122524</v>
      </c>
      <c r="G30" s="34">
        <f>SUM(G17:G25)</f>
        <v>401786</v>
      </c>
      <c r="H30" s="115">
        <f>SUM(H17:H29)</f>
        <v>98150976</v>
      </c>
    </row>
    <row r="31" spans="1:8" ht="15" customHeight="1" x14ac:dyDescent="0.2">
      <c r="B31" s="20"/>
      <c r="C31" s="21"/>
      <c r="D31" s="22"/>
      <c r="E31" s="21"/>
      <c r="F31" s="22"/>
    </row>
    <row r="32" spans="1:8" s="7" customFormat="1" ht="15" customHeight="1" x14ac:dyDescent="0.2">
      <c r="B32" s="3" t="s">
        <v>4</v>
      </c>
      <c r="C32" s="152" t="str">
        <f>CON_Utility_Name</f>
        <v>Puget Sound Energy</v>
      </c>
      <c r="D32" s="152"/>
      <c r="E32" s="152"/>
      <c r="F32" s="152"/>
    </row>
    <row r="33" spans="2:6" s="7" customFormat="1" ht="21" customHeight="1" x14ac:dyDescent="0.2">
      <c r="B33" s="3"/>
      <c r="C33" s="6"/>
      <c r="D33" s="6"/>
      <c r="E33" s="6"/>
      <c r="F33" s="6"/>
    </row>
    <row r="34" spans="2:6" s="23" customFormat="1" x14ac:dyDescent="0.25">
      <c r="B34" s="153" t="s">
        <v>76</v>
      </c>
      <c r="C34" s="154"/>
      <c r="D34" s="154"/>
      <c r="E34" s="154"/>
      <c r="F34" s="154"/>
    </row>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ht="15" customHeight="1" x14ac:dyDescent="0.2"/>
    <row r="47" spans="2:6" ht="15" customHeight="1" x14ac:dyDescent="0.2"/>
    <row r="48" spans="2:6"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spans="2:2" ht="15" customHeight="1" x14ac:dyDescent="0.2"/>
    <row r="66" spans="2:2" x14ac:dyDescent="0.2">
      <c r="B66" s="11" t="s">
        <v>37</v>
      </c>
    </row>
  </sheetData>
  <mergeCells count="16">
    <mergeCell ref="G14:H14"/>
    <mergeCell ref="G3:J3"/>
    <mergeCell ref="G15:H15"/>
    <mergeCell ref="B14:F14"/>
    <mergeCell ref="B26:C26"/>
    <mergeCell ref="D15:E15"/>
    <mergeCell ref="C3:E3"/>
    <mergeCell ref="C4:E4"/>
    <mergeCell ref="C5:E5"/>
    <mergeCell ref="C6:E6"/>
    <mergeCell ref="C7:E7"/>
    <mergeCell ref="C32:F32"/>
    <mergeCell ref="B34:F34"/>
    <mergeCell ref="B9:F9"/>
    <mergeCell ref="B10:C10"/>
    <mergeCell ref="D10:E10"/>
  </mergeCells>
  <pageMargins left="0.7" right="0.7" top="0.75" bottom="0.75" header="0.3" footer="0.3"/>
  <pageSetup scale="94" fitToHeight="0" orientation="landscape" r:id="rId1"/>
  <rowBreaks count="2" manualBreakCount="2">
    <brk id="30" max="16383" man="1"/>
    <brk id="65" max="16383" man="1"/>
  </rowBreaks>
  <ignoredErrors>
    <ignoredError sqref="D30:H30" emptyCellReference="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zoomScaleNormal="100" zoomScaleSheetLayoutView="100" workbookViewId="0">
      <selection activeCell="G7" sqref="G7"/>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3.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6" t="s">
        <v>60</v>
      </c>
      <c r="C1" s="76"/>
      <c r="D1" s="76"/>
      <c r="AC1" s="71" t="s">
        <v>52</v>
      </c>
      <c r="AH1" s="68"/>
    </row>
    <row r="2" spans="2:34" ht="14.25" x14ac:dyDescent="0.2">
      <c r="B2" s="28"/>
      <c r="C2" s="28"/>
      <c r="D2" s="28"/>
      <c r="I2" s="171" t="s">
        <v>48</v>
      </c>
      <c r="J2" s="172"/>
      <c r="K2" s="172"/>
      <c r="L2" s="172"/>
      <c r="M2" s="172"/>
      <c r="N2" s="173"/>
      <c r="AC2" s="72" t="s">
        <v>53</v>
      </c>
      <c r="AH2" s="66"/>
    </row>
    <row r="3" spans="2:34" ht="15" customHeight="1" x14ac:dyDescent="0.25">
      <c r="B3" s="3" t="s">
        <v>4</v>
      </c>
      <c r="C3" s="163" t="s">
        <v>220</v>
      </c>
      <c r="D3" s="163"/>
      <c r="E3" s="163"/>
      <c r="I3" s="85"/>
      <c r="J3" s="7"/>
      <c r="K3" s="7"/>
      <c r="L3" s="7"/>
      <c r="M3" s="84" t="s">
        <v>44</v>
      </c>
      <c r="N3" s="149">
        <v>21138168</v>
      </c>
      <c r="AC3" s="72" t="s">
        <v>54</v>
      </c>
      <c r="AH3" s="66"/>
    </row>
    <row r="4" spans="2:34" ht="15" customHeight="1" thickBot="1" x14ac:dyDescent="0.3">
      <c r="B4" s="4" t="s">
        <v>84</v>
      </c>
      <c r="C4" s="164">
        <v>41789</v>
      </c>
      <c r="D4" s="165"/>
      <c r="E4" s="165"/>
      <c r="I4" s="85"/>
      <c r="J4" s="7"/>
      <c r="K4" s="7"/>
      <c r="L4" s="7"/>
      <c r="M4" s="84" t="s">
        <v>57</v>
      </c>
      <c r="N4" s="149">
        <v>21208608</v>
      </c>
      <c r="AC4" s="72" t="s">
        <v>55</v>
      </c>
      <c r="AH4" s="67"/>
    </row>
    <row r="5" spans="2:34" ht="15" customHeight="1" x14ac:dyDescent="0.25">
      <c r="B5" s="5" t="s">
        <v>0</v>
      </c>
      <c r="C5" s="166" t="s">
        <v>228</v>
      </c>
      <c r="D5" s="167"/>
      <c r="E5" s="167"/>
      <c r="I5" s="85"/>
      <c r="J5" s="7"/>
      <c r="K5" s="7"/>
      <c r="L5" s="7"/>
      <c r="M5" s="84" t="s">
        <v>58</v>
      </c>
      <c r="N5" s="149">
        <f>IF(REN_Load_2012+REN_Load_2013&gt;0,AVERAGE(REN_Load_2012,REN_Load_2013),0)</f>
        <v>21173388</v>
      </c>
    </row>
    <row r="6" spans="2:34" ht="15" customHeight="1" x14ac:dyDescent="0.2">
      <c r="B6" s="5" t="s">
        <v>1</v>
      </c>
      <c r="C6" s="168" t="s">
        <v>229</v>
      </c>
      <c r="D6" s="167"/>
      <c r="E6" s="167"/>
      <c r="I6" s="85"/>
      <c r="J6" s="7"/>
      <c r="K6" s="7"/>
      <c r="L6" s="7"/>
      <c r="M6" s="84" t="s">
        <v>59</v>
      </c>
      <c r="N6" s="86">
        <v>0.03</v>
      </c>
    </row>
    <row r="7" spans="2:34" ht="15" customHeight="1" x14ac:dyDescent="0.25">
      <c r="B7" s="5" t="s">
        <v>2</v>
      </c>
      <c r="C7" s="169" t="s">
        <v>230</v>
      </c>
      <c r="D7" s="170"/>
      <c r="E7" s="170"/>
      <c r="I7" s="107"/>
      <c r="J7" s="7"/>
      <c r="K7" s="7"/>
      <c r="L7" s="7"/>
      <c r="M7" s="84" t="s">
        <v>65</v>
      </c>
      <c r="N7" s="149">
        <f>N5*N6</f>
        <v>635201.64</v>
      </c>
    </row>
    <row r="8" spans="2:34" ht="15" customHeight="1" x14ac:dyDescent="0.2">
      <c r="B8" s="5"/>
      <c r="C8" s="5"/>
      <c r="D8" s="5"/>
      <c r="E8" s="65"/>
      <c r="I8" s="87"/>
      <c r="J8" s="88"/>
      <c r="K8" s="88"/>
      <c r="L8" s="88"/>
      <c r="M8" s="89" t="s">
        <v>56</v>
      </c>
      <c r="N8" s="151">
        <f>SUM(C20:M20)</f>
        <v>1821000</v>
      </c>
    </row>
    <row r="9" spans="2:34" ht="15" customHeight="1" x14ac:dyDescent="0.2">
      <c r="B9" s="3" t="s">
        <v>61</v>
      </c>
      <c r="C9" s="77"/>
      <c r="D9" s="77"/>
    </row>
    <row r="10" spans="2:34" ht="15" customHeight="1" x14ac:dyDescent="0.2">
      <c r="C10" s="28"/>
      <c r="D10" s="28"/>
      <c r="G10" s="174" t="s">
        <v>168</v>
      </c>
      <c r="H10" s="175"/>
      <c r="I10" s="175"/>
      <c r="J10" s="175"/>
      <c r="K10" s="175"/>
      <c r="L10" s="175"/>
      <c r="M10" s="175"/>
      <c r="N10" s="176"/>
    </row>
    <row r="11" spans="2:34" s="69" customFormat="1" ht="14.25" customHeight="1" x14ac:dyDescent="0.25">
      <c r="B11" s="1"/>
      <c r="C11" s="70"/>
      <c r="D11" s="70"/>
      <c r="G11" s="85" t="s">
        <v>167</v>
      </c>
      <c r="H11" s="118"/>
      <c r="I11" s="118"/>
      <c r="J11" s="118"/>
      <c r="K11" s="118"/>
      <c r="L11" s="118"/>
      <c r="M11" s="7"/>
      <c r="N11" s="120">
        <v>27810000</v>
      </c>
    </row>
    <row r="12" spans="2:34" x14ac:dyDescent="0.2">
      <c r="C12" s="28"/>
      <c r="D12" s="28"/>
      <c r="G12" s="85" t="s">
        <v>175</v>
      </c>
      <c r="H12" s="116"/>
      <c r="I12" s="116"/>
      <c r="J12" s="116"/>
      <c r="K12" s="116"/>
      <c r="L12" s="7"/>
      <c r="M12" s="7"/>
      <c r="N12" s="120">
        <v>2112297000</v>
      </c>
    </row>
    <row r="13" spans="2:34" x14ac:dyDescent="0.2">
      <c r="G13" s="119" t="s">
        <v>169</v>
      </c>
      <c r="H13" s="117"/>
      <c r="I13" s="117"/>
      <c r="J13" s="117"/>
      <c r="K13" s="117"/>
      <c r="L13" s="88"/>
      <c r="M13" s="88"/>
      <c r="N13" s="150">
        <f>IF(REN_RetailRevenueRequirement_2014&gt;0,REN_Expenditure_Amount_2014/REN_RetailRevenueRequirement_2014,"")</f>
        <v>1.3165762201054114E-2</v>
      </c>
    </row>
    <row r="14" spans="2:34" ht="17.45" customHeight="1" x14ac:dyDescent="0.2">
      <c r="I14" s="177"/>
      <c r="J14" s="177"/>
      <c r="K14" s="177"/>
      <c r="L14" s="177"/>
      <c r="M14" s="177"/>
      <c r="N14" s="62"/>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62"/>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62"/>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62"/>
      <c r="O17" s="24"/>
      <c r="P17" s="24"/>
    </row>
    <row r="18" spans="2:34" ht="15" customHeight="1" x14ac:dyDescent="0.2">
      <c r="B18" s="4" t="s">
        <v>45</v>
      </c>
      <c r="C18" s="12">
        <f t="shared" ref="C18:L18" si="0">SUM(E44:E64)</f>
        <v>0</v>
      </c>
      <c r="D18" s="12">
        <v>1821000</v>
      </c>
      <c r="E18" s="12">
        <f t="shared" si="0"/>
        <v>0</v>
      </c>
      <c r="F18" s="12">
        <f t="shared" si="0"/>
        <v>0</v>
      </c>
      <c r="G18" s="12">
        <f t="shared" si="0"/>
        <v>0</v>
      </c>
      <c r="H18" s="12">
        <f t="shared" si="0"/>
        <v>0</v>
      </c>
      <c r="I18" s="12">
        <f t="shared" si="0"/>
        <v>0</v>
      </c>
      <c r="J18" s="12">
        <f t="shared" si="0"/>
        <v>0</v>
      </c>
      <c r="K18" s="12">
        <f t="shared" si="0"/>
        <v>0</v>
      </c>
      <c r="L18" s="12">
        <f t="shared" si="0"/>
        <v>0</v>
      </c>
      <c r="M18" s="106"/>
      <c r="N18" s="63"/>
      <c r="O18" s="74"/>
      <c r="P18" s="74"/>
    </row>
    <row r="19" spans="2:34" ht="16.5" customHeight="1" x14ac:dyDescent="0.2">
      <c r="B19" s="4" t="s">
        <v>46</v>
      </c>
      <c r="C19" s="106"/>
      <c r="D19" s="13">
        <f t="shared" ref="D19:M19" si="1">SUM(F72:F96)</f>
        <v>0</v>
      </c>
      <c r="E19" s="13">
        <f t="shared" si="1"/>
        <v>0</v>
      </c>
      <c r="F19" s="13">
        <f t="shared" si="1"/>
        <v>0</v>
      </c>
      <c r="G19" s="13">
        <f t="shared" si="1"/>
        <v>0</v>
      </c>
      <c r="H19" s="13">
        <f t="shared" si="1"/>
        <v>0</v>
      </c>
      <c r="I19" s="13">
        <f t="shared" si="1"/>
        <v>0</v>
      </c>
      <c r="J19" s="13">
        <f t="shared" si="1"/>
        <v>0</v>
      </c>
      <c r="K19" s="13">
        <f t="shared" si="1"/>
        <v>0</v>
      </c>
      <c r="L19" s="13">
        <f t="shared" si="1"/>
        <v>0</v>
      </c>
      <c r="M19" s="13">
        <f t="shared" si="1"/>
        <v>0</v>
      </c>
      <c r="N19" s="64"/>
      <c r="O19" s="24"/>
      <c r="P19" s="24"/>
    </row>
    <row r="20" spans="2:34" ht="16.5" customHeight="1" x14ac:dyDescent="0.2">
      <c r="B20" s="5" t="s">
        <v>47</v>
      </c>
      <c r="C20" s="14">
        <f t="shared" ref="C20:L20" si="2">C18+C19</f>
        <v>0</v>
      </c>
      <c r="D20" s="14">
        <f t="shared" si="2"/>
        <v>1821000</v>
      </c>
      <c r="E20" s="14">
        <f t="shared" si="2"/>
        <v>0</v>
      </c>
      <c r="F20" s="14">
        <f t="shared" si="2"/>
        <v>0</v>
      </c>
      <c r="G20" s="14">
        <f t="shared" si="2"/>
        <v>0</v>
      </c>
      <c r="H20" s="14">
        <f t="shared" si="2"/>
        <v>0</v>
      </c>
      <c r="I20" s="14">
        <f t="shared" si="2"/>
        <v>0</v>
      </c>
      <c r="J20" s="14">
        <f t="shared" si="2"/>
        <v>0</v>
      </c>
      <c r="K20" s="14">
        <f t="shared" si="2"/>
        <v>0</v>
      </c>
      <c r="L20" s="14">
        <f t="shared" si="2"/>
        <v>0</v>
      </c>
      <c r="M20" s="13">
        <f>M19</f>
        <v>0</v>
      </c>
      <c r="N20" s="64"/>
      <c r="O20" s="24"/>
      <c r="P20" s="24"/>
    </row>
    <row r="21" spans="2:34" ht="16.5" customHeight="1" x14ac:dyDescent="0.2">
      <c r="L21" s="7"/>
      <c r="M21" s="4"/>
      <c r="N21" s="64"/>
      <c r="O21" s="24"/>
      <c r="P21" s="24"/>
    </row>
    <row r="22" spans="2:34" ht="21.75" customHeight="1" x14ac:dyDescent="0.2">
      <c r="L22" s="7"/>
      <c r="M22" s="4"/>
      <c r="N22" s="64"/>
      <c r="O22" s="24"/>
      <c r="P22" s="24"/>
    </row>
    <row r="23" spans="2:34" ht="15" customHeight="1" x14ac:dyDescent="0.2">
      <c r="B23" s="75"/>
      <c r="C23" s="78"/>
      <c r="D23" s="78"/>
      <c r="E23" s="75"/>
      <c r="F23" s="78"/>
      <c r="G23" s="78"/>
      <c r="I23" s="7"/>
      <c r="J23" s="7"/>
      <c r="K23" s="7"/>
      <c r="L23" s="7"/>
      <c r="M23" s="4"/>
      <c r="N23" s="64"/>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78" t="str">
        <f>C3</f>
        <v>Puget Sound Energy</v>
      </c>
      <c r="G36" s="179"/>
      <c r="H36" s="180"/>
    </row>
    <row r="37" spans="2:34" ht="15" customHeight="1" x14ac:dyDescent="0.2">
      <c r="E37" s="10" t="s">
        <v>13</v>
      </c>
      <c r="F37" s="181">
        <v>2014</v>
      </c>
      <c r="G37" s="182"/>
      <c r="H37" s="183"/>
    </row>
    <row r="38" spans="2:34" ht="15" customHeight="1" x14ac:dyDescent="0.2">
      <c r="E38" s="10"/>
      <c r="F38" s="73"/>
      <c r="G38" s="9"/>
      <c r="H38" s="9"/>
    </row>
    <row r="39" spans="2:34" s="29" customFormat="1" ht="27" customHeight="1" x14ac:dyDescent="0.25">
      <c r="B39" s="184" t="s">
        <v>173</v>
      </c>
      <c r="C39" s="185"/>
      <c r="D39" s="185"/>
      <c r="E39" s="186"/>
      <c r="F39" s="186"/>
      <c r="G39" s="186"/>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9" t="s">
        <v>35</v>
      </c>
      <c r="C43" s="187" t="s">
        <v>62</v>
      </c>
      <c r="D43" s="187"/>
      <c r="E43" s="25" t="s">
        <v>7</v>
      </c>
      <c r="F43" s="25" t="s">
        <v>7</v>
      </c>
      <c r="G43" s="25" t="s">
        <v>7</v>
      </c>
      <c r="H43" s="25" t="s">
        <v>7</v>
      </c>
      <c r="I43" s="25" t="s">
        <v>7</v>
      </c>
      <c r="J43" s="25" t="s">
        <v>7</v>
      </c>
      <c r="K43" s="25" t="s">
        <v>7</v>
      </c>
      <c r="L43" s="25" t="s">
        <v>7</v>
      </c>
      <c r="M43" s="25" t="s">
        <v>7</v>
      </c>
      <c r="N43" s="25" t="s">
        <v>64</v>
      </c>
      <c r="AH43" s="11"/>
    </row>
    <row r="44" spans="2:34" ht="15" customHeight="1" x14ac:dyDescent="0.2">
      <c r="B44" s="80"/>
      <c r="C44" s="44"/>
      <c r="D44" s="44"/>
      <c r="E44" s="49"/>
      <c r="F44" s="50"/>
      <c r="G44" s="50"/>
      <c r="H44" s="50"/>
      <c r="I44" s="50"/>
      <c r="J44" s="50"/>
      <c r="K44" s="50"/>
      <c r="L44" s="50"/>
      <c r="M44" s="50"/>
      <c r="N44" s="50"/>
    </row>
    <row r="45" spans="2:34" ht="15" customHeight="1" x14ac:dyDescent="0.2">
      <c r="B45" s="81"/>
      <c r="C45" s="45"/>
      <c r="D45" s="45"/>
      <c r="E45" s="52"/>
      <c r="F45" s="53"/>
      <c r="G45" s="53"/>
      <c r="H45" s="53"/>
      <c r="I45" s="53"/>
      <c r="J45" s="53"/>
      <c r="K45" s="53"/>
      <c r="L45" s="53"/>
      <c r="M45" s="53"/>
      <c r="N45" s="53"/>
    </row>
    <row r="46" spans="2:34" ht="15" customHeight="1" x14ac:dyDescent="0.2">
      <c r="B46" s="81"/>
      <c r="C46" s="45"/>
      <c r="D46" s="45"/>
      <c r="E46" s="52"/>
      <c r="F46" s="53"/>
      <c r="G46" s="53"/>
      <c r="H46" s="53"/>
      <c r="I46" s="53"/>
      <c r="J46" s="53"/>
      <c r="K46" s="53"/>
      <c r="L46" s="53"/>
      <c r="M46" s="53"/>
      <c r="N46" s="53"/>
    </row>
    <row r="47" spans="2:34" ht="15" customHeight="1" x14ac:dyDescent="0.2">
      <c r="B47" s="82"/>
      <c r="C47" s="46"/>
      <c r="D47" s="46"/>
      <c r="E47" s="52"/>
      <c r="F47" s="53"/>
      <c r="G47" s="53"/>
      <c r="H47" s="53"/>
      <c r="I47" s="53"/>
      <c r="J47" s="53"/>
      <c r="K47" s="53"/>
      <c r="L47" s="53"/>
      <c r="M47" s="53"/>
      <c r="N47" s="53"/>
    </row>
    <row r="48" spans="2:34" ht="15" customHeight="1" x14ac:dyDescent="0.2">
      <c r="B48" s="83"/>
      <c r="C48" s="38"/>
      <c r="D48" s="38"/>
      <c r="E48" s="52"/>
      <c r="F48" s="53"/>
      <c r="G48" s="53"/>
      <c r="H48" s="53"/>
      <c r="I48" s="53"/>
      <c r="J48" s="53"/>
      <c r="K48" s="53"/>
      <c r="L48" s="53"/>
      <c r="M48" s="53"/>
      <c r="N48" s="53"/>
    </row>
    <row r="49" spans="2:14" ht="15" customHeight="1" x14ac:dyDescent="0.2">
      <c r="B49" s="41"/>
      <c r="C49" s="39"/>
      <c r="D49" s="39"/>
      <c r="E49" s="52"/>
      <c r="F49" s="53"/>
      <c r="G49" s="53"/>
      <c r="H49" s="53"/>
      <c r="I49" s="53"/>
      <c r="J49" s="53"/>
      <c r="K49" s="53"/>
      <c r="L49" s="53"/>
      <c r="M49" s="53"/>
      <c r="N49" s="53"/>
    </row>
    <row r="50" spans="2:14" ht="15" customHeight="1" x14ac:dyDescent="0.2">
      <c r="B50" s="41"/>
      <c r="C50" s="39"/>
      <c r="D50" s="39"/>
      <c r="E50" s="52"/>
      <c r="F50" s="53"/>
      <c r="G50" s="53"/>
      <c r="H50" s="53"/>
      <c r="I50" s="53"/>
      <c r="J50" s="53"/>
      <c r="K50" s="53"/>
      <c r="L50" s="53"/>
      <c r="M50" s="53"/>
      <c r="N50" s="53"/>
    </row>
    <row r="51" spans="2:14" ht="15" customHeight="1" x14ac:dyDescent="0.2">
      <c r="B51" s="41"/>
      <c r="C51" s="39"/>
      <c r="D51" s="39"/>
      <c r="E51" s="52"/>
      <c r="F51" s="53"/>
      <c r="G51" s="53"/>
      <c r="H51" s="53"/>
      <c r="I51" s="53"/>
      <c r="J51" s="53"/>
      <c r="K51" s="53"/>
      <c r="L51" s="53"/>
      <c r="M51" s="53"/>
      <c r="N51" s="53"/>
    </row>
    <row r="52" spans="2:14" ht="15" customHeight="1" x14ac:dyDescent="0.2">
      <c r="B52" s="41"/>
      <c r="C52" s="39"/>
      <c r="D52" s="39"/>
      <c r="E52" s="52"/>
      <c r="F52" s="53"/>
      <c r="G52" s="53"/>
      <c r="H52" s="53"/>
      <c r="I52" s="53"/>
      <c r="J52" s="53"/>
      <c r="K52" s="53"/>
      <c r="L52" s="53"/>
      <c r="M52" s="53"/>
      <c r="N52" s="53"/>
    </row>
    <row r="53" spans="2:14" ht="15" customHeight="1" x14ac:dyDescent="0.2">
      <c r="B53" s="41"/>
      <c r="C53" s="39"/>
      <c r="D53" s="39"/>
      <c r="E53" s="52"/>
      <c r="F53" s="53"/>
      <c r="G53" s="53"/>
      <c r="H53" s="53"/>
      <c r="I53" s="53"/>
      <c r="J53" s="53"/>
      <c r="K53" s="53"/>
      <c r="L53" s="53"/>
      <c r="M53" s="53"/>
      <c r="N53" s="53"/>
    </row>
    <row r="54" spans="2:14" ht="15" customHeight="1" x14ac:dyDescent="0.2">
      <c r="B54" s="41"/>
      <c r="C54" s="39"/>
      <c r="D54" s="39"/>
      <c r="E54" s="52"/>
      <c r="F54" s="53"/>
      <c r="G54" s="53"/>
      <c r="H54" s="53"/>
      <c r="I54" s="53"/>
      <c r="J54" s="53"/>
      <c r="K54" s="53"/>
      <c r="L54" s="53"/>
      <c r="M54" s="53"/>
      <c r="N54" s="53"/>
    </row>
    <row r="55" spans="2:14" ht="15" customHeight="1" x14ac:dyDescent="0.2">
      <c r="B55" s="41"/>
      <c r="C55" s="39"/>
      <c r="D55" s="39"/>
      <c r="E55" s="52"/>
      <c r="F55" s="53"/>
      <c r="G55" s="53"/>
      <c r="H55" s="53"/>
      <c r="I55" s="53"/>
      <c r="J55" s="53"/>
      <c r="K55" s="53"/>
      <c r="L55" s="53"/>
      <c r="M55" s="53"/>
      <c r="N55" s="53"/>
    </row>
    <row r="56" spans="2:14" ht="15" customHeight="1" x14ac:dyDescent="0.2">
      <c r="B56" s="41"/>
      <c r="C56" s="39"/>
      <c r="D56" s="39"/>
      <c r="E56" s="52"/>
      <c r="F56" s="53"/>
      <c r="G56" s="53"/>
      <c r="H56" s="53"/>
      <c r="I56" s="53"/>
      <c r="J56" s="53"/>
      <c r="K56" s="53"/>
      <c r="L56" s="53"/>
      <c r="M56" s="53"/>
      <c r="N56" s="53"/>
    </row>
    <row r="57" spans="2:14" ht="15" customHeight="1" x14ac:dyDescent="0.2">
      <c r="B57" s="41"/>
      <c r="C57" s="39"/>
      <c r="D57" s="39"/>
      <c r="E57" s="52"/>
      <c r="F57" s="53"/>
      <c r="G57" s="53"/>
      <c r="H57" s="53"/>
      <c r="I57" s="53"/>
      <c r="J57" s="53"/>
      <c r="K57" s="53"/>
      <c r="L57" s="53"/>
      <c r="M57" s="53"/>
      <c r="N57" s="53"/>
    </row>
    <row r="58" spans="2:14" ht="15" customHeight="1" x14ac:dyDescent="0.2">
      <c r="B58" s="41"/>
      <c r="C58" s="39"/>
      <c r="D58" s="39"/>
      <c r="E58" s="52"/>
      <c r="F58" s="53"/>
      <c r="G58" s="53"/>
      <c r="H58" s="53"/>
      <c r="I58" s="53"/>
      <c r="J58" s="53"/>
      <c r="K58" s="53"/>
      <c r="L58" s="53"/>
      <c r="M58" s="53"/>
      <c r="N58" s="53"/>
    </row>
    <row r="59" spans="2:14" ht="15" customHeight="1" x14ac:dyDescent="0.2">
      <c r="B59" s="41"/>
      <c r="C59" s="39"/>
      <c r="D59" s="39"/>
      <c r="E59" s="52"/>
      <c r="F59" s="53"/>
      <c r="G59" s="53"/>
      <c r="H59" s="53"/>
      <c r="I59" s="53"/>
      <c r="J59" s="53"/>
      <c r="K59" s="53"/>
      <c r="L59" s="53"/>
      <c r="M59" s="53"/>
      <c r="N59" s="53"/>
    </row>
    <row r="60" spans="2:14" ht="15" customHeight="1" x14ac:dyDescent="0.2">
      <c r="B60" s="41"/>
      <c r="C60" s="39"/>
      <c r="D60" s="39"/>
      <c r="E60" s="52"/>
      <c r="F60" s="53"/>
      <c r="G60" s="53"/>
      <c r="H60" s="53"/>
      <c r="I60" s="53"/>
      <c r="J60" s="53"/>
      <c r="K60" s="53"/>
      <c r="L60" s="53"/>
      <c r="M60" s="53"/>
      <c r="N60" s="53"/>
    </row>
    <row r="61" spans="2:14" ht="15" customHeight="1" x14ac:dyDescent="0.2">
      <c r="B61" s="41"/>
      <c r="C61" s="39"/>
      <c r="D61" s="39"/>
      <c r="E61" s="52"/>
      <c r="F61" s="53"/>
      <c r="G61" s="53"/>
      <c r="H61" s="53"/>
      <c r="I61" s="53"/>
      <c r="J61" s="53"/>
      <c r="K61" s="53"/>
      <c r="L61" s="53"/>
      <c r="M61" s="53"/>
      <c r="N61" s="53"/>
    </row>
    <row r="62" spans="2:14" ht="15" customHeight="1" x14ac:dyDescent="0.2">
      <c r="B62" s="41"/>
      <c r="C62" s="39"/>
      <c r="D62" s="39"/>
      <c r="E62" s="52"/>
      <c r="F62" s="53"/>
      <c r="G62" s="53"/>
      <c r="H62" s="53"/>
      <c r="I62" s="53"/>
      <c r="J62" s="53"/>
      <c r="K62" s="53"/>
      <c r="L62" s="53"/>
      <c r="M62" s="53"/>
      <c r="N62" s="53"/>
    </row>
    <row r="63" spans="2:14" ht="15" customHeight="1" x14ac:dyDescent="0.2">
      <c r="B63" s="41"/>
      <c r="C63" s="39"/>
      <c r="D63" s="39"/>
      <c r="E63" s="52"/>
      <c r="F63" s="53"/>
      <c r="G63" s="53"/>
      <c r="H63" s="53"/>
      <c r="I63" s="53"/>
      <c r="J63" s="53"/>
      <c r="K63" s="53"/>
      <c r="L63" s="53"/>
      <c r="M63" s="53"/>
      <c r="N63" s="53"/>
    </row>
    <row r="64" spans="2:14" ht="15" customHeight="1" x14ac:dyDescent="0.2">
      <c r="B64" s="42"/>
      <c r="C64" s="40"/>
      <c r="D64" s="40"/>
      <c r="E64" s="55"/>
      <c r="F64" s="56"/>
      <c r="G64" s="56"/>
      <c r="H64" s="56"/>
      <c r="I64" s="56"/>
      <c r="J64" s="56"/>
      <c r="K64" s="56"/>
      <c r="L64" s="56"/>
      <c r="M64" s="56"/>
      <c r="N64" s="56"/>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78" t="str">
        <f>C3</f>
        <v>Puget Sound Energy</v>
      </c>
      <c r="G66" s="179"/>
      <c r="H66" s="180"/>
    </row>
    <row r="67" spans="1:34" ht="15" customHeight="1" x14ac:dyDescent="0.2">
      <c r="E67" s="10" t="s">
        <v>13</v>
      </c>
      <c r="F67" s="181">
        <v>2014</v>
      </c>
      <c r="G67" s="182"/>
      <c r="H67" s="183"/>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9"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48"/>
      <c r="C72" s="48"/>
      <c r="D72" s="48"/>
      <c r="E72" s="58"/>
      <c r="F72" s="50"/>
      <c r="G72" s="50"/>
      <c r="H72" s="50"/>
      <c r="I72" s="50"/>
      <c r="J72" s="50"/>
      <c r="K72" s="50"/>
      <c r="L72" s="50"/>
      <c r="M72" s="50"/>
      <c r="N72" s="50"/>
      <c r="O72" s="51"/>
    </row>
    <row r="73" spans="1:34" ht="15" customHeight="1" x14ac:dyDescent="0.2">
      <c r="A73" s="7"/>
      <c r="B73" s="48"/>
      <c r="C73" s="48"/>
      <c r="D73" s="48"/>
      <c r="E73" s="59"/>
      <c r="F73" s="53"/>
      <c r="G73" s="53"/>
      <c r="H73" s="53"/>
      <c r="I73" s="53"/>
      <c r="J73" s="53"/>
      <c r="K73" s="53"/>
      <c r="L73" s="53"/>
      <c r="M73" s="53"/>
      <c r="N73" s="53"/>
      <c r="O73" s="54"/>
    </row>
    <row r="74" spans="1:34" ht="15" customHeight="1" x14ac:dyDescent="0.2">
      <c r="A74" s="7"/>
      <c r="B74" s="48"/>
      <c r="C74" s="48"/>
      <c r="D74" s="48"/>
      <c r="E74" s="59"/>
      <c r="F74" s="53"/>
      <c r="G74" s="53"/>
      <c r="H74" s="53"/>
      <c r="I74" s="53"/>
      <c r="J74" s="53"/>
      <c r="K74" s="53"/>
      <c r="L74" s="53"/>
      <c r="M74" s="53"/>
      <c r="N74" s="53"/>
      <c r="O74" s="54"/>
    </row>
    <row r="75" spans="1:34" ht="15" customHeight="1" x14ac:dyDescent="0.2">
      <c r="A75" s="7"/>
      <c r="B75" s="48"/>
      <c r="C75" s="48"/>
      <c r="D75" s="48"/>
      <c r="E75" s="59"/>
      <c r="F75" s="53"/>
      <c r="G75" s="53"/>
      <c r="H75" s="53"/>
      <c r="I75" s="53"/>
      <c r="J75" s="53"/>
      <c r="K75" s="53"/>
      <c r="L75" s="53"/>
      <c r="M75" s="53"/>
      <c r="N75" s="53"/>
      <c r="O75" s="54"/>
    </row>
    <row r="76" spans="1:34" ht="15" customHeight="1" x14ac:dyDescent="0.2">
      <c r="A76" s="7"/>
      <c r="B76" s="41"/>
      <c r="C76" s="41"/>
      <c r="D76" s="41"/>
      <c r="E76" s="60"/>
      <c r="F76" s="53"/>
      <c r="G76" s="53"/>
      <c r="H76" s="53"/>
      <c r="I76" s="53"/>
      <c r="J76" s="53"/>
      <c r="K76" s="53"/>
      <c r="L76" s="53"/>
      <c r="M76" s="53"/>
      <c r="N76" s="53"/>
      <c r="O76" s="54"/>
    </row>
    <row r="77" spans="1:34" ht="15" customHeight="1" x14ac:dyDescent="0.2">
      <c r="A77" s="7"/>
      <c r="B77" s="41"/>
      <c r="C77" s="41"/>
      <c r="D77" s="41"/>
      <c r="E77" s="60"/>
      <c r="F77" s="53"/>
      <c r="G77" s="53"/>
      <c r="H77" s="53"/>
      <c r="I77" s="53"/>
      <c r="J77" s="53"/>
      <c r="K77" s="53"/>
      <c r="L77" s="53"/>
      <c r="M77" s="53"/>
      <c r="N77" s="53"/>
      <c r="O77" s="54"/>
    </row>
    <row r="78" spans="1:34" ht="15" customHeight="1" x14ac:dyDescent="0.2">
      <c r="A78" s="7"/>
      <c r="B78" s="41"/>
      <c r="C78" s="41"/>
      <c r="D78" s="41"/>
      <c r="E78" s="60"/>
      <c r="F78" s="53"/>
      <c r="G78" s="53"/>
      <c r="H78" s="53"/>
      <c r="I78" s="53"/>
      <c r="J78" s="53"/>
      <c r="K78" s="53"/>
      <c r="L78" s="53"/>
      <c r="M78" s="53"/>
      <c r="N78" s="53"/>
      <c r="O78" s="54"/>
    </row>
    <row r="79" spans="1:34" ht="15" customHeight="1" x14ac:dyDescent="0.2">
      <c r="B79" s="47"/>
      <c r="C79" s="47"/>
      <c r="D79" s="47"/>
      <c r="E79" s="60"/>
      <c r="F79" s="53"/>
      <c r="G79" s="53"/>
      <c r="H79" s="53"/>
      <c r="I79" s="53"/>
      <c r="J79" s="53"/>
      <c r="K79" s="53"/>
      <c r="L79" s="53"/>
      <c r="M79" s="53"/>
      <c r="N79" s="53"/>
      <c r="O79" s="54"/>
    </row>
    <row r="80" spans="1:34" ht="15" customHeight="1" x14ac:dyDescent="0.2">
      <c r="B80" s="41"/>
      <c r="C80" s="41"/>
      <c r="D80" s="41"/>
      <c r="E80" s="60"/>
      <c r="F80" s="53"/>
      <c r="G80" s="53"/>
      <c r="H80" s="53"/>
      <c r="I80" s="53"/>
      <c r="J80" s="53"/>
      <c r="K80" s="53"/>
      <c r="L80" s="53"/>
      <c r="M80" s="53"/>
      <c r="N80" s="53"/>
      <c r="O80" s="54"/>
    </row>
    <row r="81" spans="2:15" ht="15" customHeight="1" x14ac:dyDescent="0.2">
      <c r="B81" s="41"/>
      <c r="C81" s="41"/>
      <c r="D81" s="41"/>
      <c r="E81" s="60"/>
      <c r="F81" s="53"/>
      <c r="G81" s="53"/>
      <c r="H81" s="53"/>
      <c r="I81" s="53"/>
      <c r="J81" s="53"/>
      <c r="K81" s="53"/>
      <c r="L81" s="53"/>
      <c r="M81" s="53"/>
      <c r="N81" s="53"/>
      <c r="O81" s="54"/>
    </row>
    <row r="82" spans="2:15" ht="15" customHeight="1" x14ac:dyDescent="0.2">
      <c r="B82" s="41"/>
      <c r="C82" s="41"/>
      <c r="D82" s="41"/>
      <c r="E82" s="60"/>
      <c r="F82" s="53"/>
      <c r="G82" s="53"/>
      <c r="H82" s="53"/>
      <c r="I82" s="53"/>
      <c r="J82" s="53"/>
      <c r="K82" s="53"/>
      <c r="L82" s="53"/>
      <c r="M82" s="53"/>
      <c r="N82" s="53"/>
      <c r="O82" s="54"/>
    </row>
    <row r="83" spans="2:15" ht="15" customHeight="1" x14ac:dyDescent="0.2">
      <c r="B83" s="41"/>
      <c r="C83" s="41"/>
      <c r="D83" s="41"/>
      <c r="E83" s="60"/>
      <c r="F83" s="53"/>
      <c r="G83" s="53"/>
      <c r="H83" s="53"/>
      <c r="I83" s="53"/>
      <c r="J83" s="53"/>
      <c r="K83" s="53"/>
      <c r="L83" s="53"/>
      <c r="M83" s="53"/>
      <c r="N83" s="53"/>
      <c r="O83" s="54"/>
    </row>
    <row r="84" spans="2:15" ht="15" customHeight="1" x14ac:dyDescent="0.2">
      <c r="B84" s="41"/>
      <c r="C84" s="41"/>
      <c r="D84" s="41"/>
      <c r="E84" s="60"/>
      <c r="F84" s="53"/>
      <c r="G84" s="53"/>
      <c r="H84" s="53"/>
      <c r="I84" s="53"/>
      <c r="J84" s="53"/>
      <c r="K84" s="53"/>
      <c r="L84" s="53"/>
      <c r="M84" s="53"/>
      <c r="N84" s="53"/>
      <c r="O84" s="54"/>
    </row>
    <row r="85" spans="2:15" ht="15" customHeight="1" x14ac:dyDescent="0.2">
      <c r="B85" s="41"/>
      <c r="C85" s="41"/>
      <c r="D85" s="41"/>
      <c r="E85" s="60"/>
      <c r="F85" s="53"/>
      <c r="G85" s="53"/>
      <c r="H85" s="53"/>
      <c r="I85" s="53"/>
      <c r="J85" s="53"/>
      <c r="K85" s="53"/>
      <c r="L85" s="53"/>
      <c r="M85" s="53"/>
      <c r="N85" s="53"/>
      <c r="O85" s="54"/>
    </row>
    <row r="86" spans="2:15" ht="15" customHeight="1" x14ac:dyDescent="0.2">
      <c r="B86" s="41"/>
      <c r="C86" s="41"/>
      <c r="D86" s="41"/>
      <c r="E86" s="60"/>
      <c r="F86" s="53"/>
      <c r="G86" s="53"/>
      <c r="H86" s="53"/>
      <c r="I86" s="53"/>
      <c r="J86" s="53"/>
      <c r="K86" s="53"/>
      <c r="L86" s="53"/>
      <c r="M86" s="53"/>
      <c r="N86" s="53"/>
      <c r="O86" s="54"/>
    </row>
    <row r="87" spans="2:15" ht="15" customHeight="1" x14ac:dyDescent="0.2">
      <c r="B87" s="41"/>
      <c r="C87" s="41"/>
      <c r="D87" s="41"/>
      <c r="E87" s="60"/>
      <c r="F87" s="53"/>
      <c r="G87" s="53"/>
      <c r="H87" s="53"/>
      <c r="I87" s="53"/>
      <c r="J87" s="53"/>
      <c r="K87" s="53"/>
      <c r="L87" s="53"/>
      <c r="M87" s="53"/>
      <c r="N87" s="53"/>
      <c r="O87" s="54"/>
    </row>
    <row r="88" spans="2:15" ht="15" customHeight="1" x14ac:dyDescent="0.2">
      <c r="B88" s="41"/>
      <c r="C88" s="41"/>
      <c r="D88" s="41"/>
      <c r="E88" s="60"/>
      <c r="F88" s="53"/>
      <c r="G88" s="53"/>
      <c r="H88" s="53"/>
      <c r="I88" s="53"/>
      <c r="J88" s="53"/>
      <c r="K88" s="53"/>
      <c r="L88" s="53"/>
      <c r="M88" s="53"/>
      <c r="N88" s="53"/>
      <c r="O88" s="54"/>
    </row>
    <row r="89" spans="2:15" ht="15" customHeight="1" x14ac:dyDescent="0.2">
      <c r="B89" s="41"/>
      <c r="C89" s="41"/>
      <c r="D89" s="41"/>
      <c r="E89" s="60"/>
      <c r="F89" s="53"/>
      <c r="G89" s="53"/>
      <c r="H89" s="53"/>
      <c r="I89" s="53"/>
      <c r="J89" s="53"/>
      <c r="K89" s="53"/>
      <c r="L89" s="53"/>
      <c r="M89" s="53"/>
      <c r="N89" s="53"/>
      <c r="O89" s="54"/>
    </row>
    <row r="90" spans="2:15" ht="15" customHeight="1" x14ac:dyDescent="0.2">
      <c r="B90" s="41"/>
      <c r="C90" s="41"/>
      <c r="D90" s="41"/>
      <c r="E90" s="60"/>
      <c r="F90" s="53"/>
      <c r="G90" s="53"/>
      <c r="H90" s="53"/>
      <c r="I90" s="53"/>
      <c r="J90" s="53"/>
      <c r="K90" s="53"/>
      <c r="L90" s="53"/>
      <c r="M90" s="53"/>
      <c r="N90" s="53"/>
      <c r="O90" s="54"/>
    </row>
    <row r="91" spans="2:15" ht="15" customHeight="1" x14ac:dyDescent="0.2">
      <c r="B91" s="41"/>
      <c r="C91" s="41"/>
      <c r="D91" s="41"/>
      <c r="E91" s="60"/>
      <c r="F91" s="53"/>
      <c r="G91" s="53"/>
      <c r="H91" s="53"/>
      <c r="I91" s="53"/>
      <c r="J91" s="53"/>
      <c r="K91" s="53"/>
      <c r="L91" s="53"/>
      <c r="M91" s="53"/>
      <c r="N91" s="53"/>
      <c r="O91" s="54"/>
    </row>
    <row r="92" spans="2:15" ht="15" customHeight="1" x14ac:dyDescent="0.2">
      <c r="B92" s="41"/>
      <c r="C92" s="41"/>
      <c r="D92" s="41"/>
      <c r="E92" s="60"/>
      <c r="F92" s="53"/>
      <c r="G92" s="53"/>
      <c r="H92" s="53"/>
      <c r="I92" s="53"/>
      <c r="J92" s="53"/>
      <c r="K92" s="53"/>
      <c r="L92" s="53"/>
      <c r="M92" s="53"/>
      <c r="N92" s="53"/>
      <c r="O92" s="54"/>
    </row>
    <row r="93" spans="2:15" ht="15" customHeight="1" x14ac:dyDescent="0.2">
      <c r="B93" s="41"/>
      <c r="C93" s="41"/>
      <c r="D93" s="41"/>
      <c r="E93" s="60"/>
      <c r="F93" s="53"/>
      <c r="G93" s="53"/>
      <c r="H93" s="53"/>
      <c r="I93" s="53"/>
      <c r="J93" s="53"/>
      <c r="K93" s="53"/>
      <c r="L93" s="53"/>
      <c r="M93" s="53"/>
      <c r="N93" s="53"/>
      <c r="O93" s="54"/>
    </row>
    <row r="94" spans="2:15" ht="15" customHeight="1" x14ac:dyDescent="0.2">
      <c r="B94" s="41"/>
      <c r="C94" s="41"/>
      <c r="D94" s="41"/>
      <c r="E94" s="60"/>
      <c r="F94" s="53"/>
      <c r="G94" s="53"/>
      <c r="H94" s="53"/>
      <c r="I94" s="53"/>
      <c r="J94" s="53"/>
      <c r="K94" s="53"/>
      <c r="L94" s="53"/>
      <c r="M94" s="53"/>
      <c r="N94" s="53"/>
      <c r="O94" s="54"/>
    </row>
    <row r="95" spans="2:15" ht="15" customHeight="1" x14ac:dyDescent="0.2">
      <c r="B95" s="41"/>
      <c r="C95" s="41"/>
      <c r="D95" s="41"/>
      <c r="E95" s="60"/>
      <c r="F95" s="53"/>
      <c r="G95" s="53"/>
      <c r="H95" s="53"/>
      <c r="I95" s="53"/>
      <c r="J95" s="53"/>
      <c r="K95" s="53"/>
      <c r="L95" s="53"/>
      <c r="M95" s="53"/>
      <c r="N95" s="53"/>
      <c r="O95" s="54"/>
    </row>
    <row r="96" spans="2:15" ht="15" customHeight="1" x14ac:dyDescent="0.2">
      <c r="B96" s="42"/>
      <c r="C96" s="42"/>
      <c r="D96" s="42"/>
      <c r="E96" s="61"/>
      <c r="F96" s="56"/>
      <c r="G96" s="56"/>
      <c r="H96" s="56"/>
      <c r="I96" s="56"/>
      <c r="J96" s="56"/>
      <c r="K96" s="56"/>
      <c r="L96" s="56"/>
      <c r="M96" s="56"/>
      <c r="N96" s="56"/>
      <c r="O96" s="57"/>
    </row>
    <row r="97" spans="2:34" ht="15" customHeight="1" x14ac:dyDescent="0.2"/>
    <row r="98" spans="2:34" ht="15" customHeight="1" x14ac:dyDescent="0.2">
      <c r="B98" s="11"/>
      <c r="C98" s="11"/>
      <c r="D98" s="11"/>
      <c r="E98" s="10" t="s">
        <v>4</v>
      </c>
      <c r="F98" s="178" t="str">
        <f>C3</f>
        <v>Puget Sound Energy</v>
      </c>
      <c r="G98" s="179"/>
      <c r="H98" s="180"/>
    </row>
    <row r="99" spans="2:34" ht="15" customHeight="1" x14ac:dyDescent="0.2">
      <c r="E99" s="10" t="s">
        <v>50</v>
      </c>
      <c r="F99" s="181">
        <v>2014</v>
      </c>
      <c r="G99" s="182"/>
      <c r="H99" s="183"/>
    </row>
    <row r="100" spans="2:34" ht="15" customHeight="1" x14ac:dyDescent="0.2">
      <c r="B100" s="11" t="s">
        <v>78</v>
      </c>
      <c r="C100" s="11"/>
      <c r="D100" s="11"/>
      <c r="E100" s="10"/>
      <c r="F100" s="73"/>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pageMargins left="0.7" right="0.7" top="0.75" bottom="0.75" header="0.3" footer="0.3"/>
  <pageSetup scale="70" fitToHeight="0" orientation="landscape" r:id="rId1"/>
  <rowBreaks count="3" manualBreakCount="3">
    <brk id="34" max="12" man="1"/>
    <brk id="64" max="12" man="1"/>
    <brk id="97"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5448" r:id="rId4"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5"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6"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Puget Sound Energy</v>
      </c>
      <c r="B2">
        <f>REN_Total_2014</f>
        <v>1821000</v>
      </c>
      <c r="C2">
        <f>CON_2012_Agriculture_MWH</f>
        <v>0</v>
      </c>
      <c r="D2">
        <f>CON_2012_Commercial_Expend</f>
        <v>40514727</v>
      </c>
      <c r="E2">
        <f>CON_2012_Commercial_MWH</f>
        <v>166747</v>
      </c>
      <c r="F2">
        <f>CON_2012_Distribution_Expend</f>
        <v>0</v>
      </c>
      <c r="G2">
        <f>CON_2012_Distribution_MWH</f>
        <v>0</v>
      </c>
      <c r="H2">
        <f>CON_2012_Expenditures</f>
        <v>91122524</v>
      </c>
      <c r="I2">
        <f>CON_2012_Industrial_Expend</f>
        <v>0</v>
      </c>
      <c r="J2">
        <f>CON_2012_Industrial_MWH</f>
        <v>0</v>
      </c>
      <c r="K2">
        <f>CON_2012_MWH</f>
        <v>380805</v>
      </c>
      <c r="L2">
        <f>CON_2012_NEEA_Expend</f>
        <v>4687146</v>
      </c>
      <c r="M2">
        <f>CON_2012_NEEA_MWH</f>
        <v>59218</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2593348</v>
      </c>
      <c r="U2">
        <f>CON_2012_Program2_Expend</f>
        <v>0</v>
      </c>
      <c r="V2">
        <f>CON_2012_Residential_Expend</f>
        <v>40381507</v>
      </c>
      <c r="W2">
        <f>CON_2012_Residential_MWH</f>
        <v>154840</v>
      </c>
      <c r="X2">
        <f>CON_2013_Agriculture_Expend</f>
        <v>0</v>
      </c>
      <c r="Y2">
        <f>CON_2013_Agriculture_MWH</f>
        <v>0</v>
      </c>
      <c r="Z2">
        <f>CON_2013_Commercial_Expend</f>
        <v>37587949</v>
      </c>
      <c r="AA2">
        <f>CON_2013_Commercial_MWH</f>
        <v>167737</v>
      </c>
      <c r="AB2">
        <f>CON_2013_Distribution_Expend</f>
        <v>0</v>
      </c>
      <c r="AC2">
        <f>CON_2013_Distribution_MWH</f>
        <v>0</v>
      </c>
      <c r="AD2">
        <f>CON_2013_Expenditures</f>
        <v>98150976</v>
      </c>
      <c r="AE2">
        <f>CON_2013_Industrial_Expend</f>
        <v>0</v>
      </c>
      <c r="AF2">
        <f>CON_2013_Industrial_MWH</f>
        <v>0</v>
      </c>
      <c r="AG2">
        <f>CON_2013_MWH</f>
        <v>401786</v>
      </c>
      <c r="AH2">
        <f>CON_2013_NEEA_Expend</f>
        <v>4574812</v>
      </c>
      <c r="AI2">
        <f>CON_2013_NEEA_MWH</f>
        <v>64036</v>
      </c>
      <c r="AJ2">
        <f>CON_2013_OtherSector1_Expend</f>
        <v>0</v>
      </c>
      <c r="AK2">
        <f>CON_2013_OtherSector1_MWH</f>
        <v>1329</v>
      </c>
      <c r="AL2">
        <f>CON_2013_OtherSector2_Expend</f>
        <v>0</v>
      </c>
      <c r="AM2">
        <f>CON_2013_OtherSector2_MWH</f>
        <v>0</v>
      </c>
      <c r="AN2">
        <f>CON_2013_Production_Expend</f>
        <v>0</v>
      </c>
      <c r="AO2">
        <f>CON_2013_Production_MWH</f>
        <v>0</v>
      </c>
      <c r="AP2">
        <f>CON_2013_Program1_Expend</f>
        <v>2585005</v>
      </c>
      <c r="AQ2">
        <f>CON_2013_Program2_Expend</f>
        <v>0</v>
      </c>
      <c r="AR2">
        <f>CON_2013_Residential_Expend</f>
        <v>50106708</v>
      </c>
      <c r="AS2">
        <f>CON_2013_Residential_MWH</f>
        <v>168684</v>
      </c>
      <c r="AT2" t="str">
        <f>CON_Contact_Name</f>
        <v>Dan Anderson, Budget &amp; Administration</v>
      </c>
      <c r="AU2" t="str">
        <f>CON_Email</f>
        <v>daniel.anderson@pse.com</v>
      </c>
      <c r="AV2" t="str">
        <f>CON_Phone</f>
        <v>425 456-2306</v>
      </c>
      <c r="AW2">
        <f>CON_Potential_2012_2021</f>
        <v>3531508</v>
      </c>
      <c r="AX2">
        <f>CON_Potential_2014_2023</f>
        <v>2730408</v>
      </c>
      <c r="AY2" t="str">
        <f>CON_Report_Date</f>
        <v>Original May 30, 2014, updated August 29, 2014</v>
      </c>
      <c r="AZ2">
        <f>CON_Target_2012_2013</f>
        <v>666000</v>
      </c>
      <c r="BA2">
        <f>CON_Target_2014_2015</f>
        <v>621120</v>
      </c>
      <c r="BB2" t="str">
        <f>CON_Utility_Name</f>
        <v>Puget Sound Energy</v>
      </c>
      <c r="BC2" t="str">
        <f>REN_Contact_Name</f>
        <v>Eric Englert</v>
      </c>
      <c r="BD2" t="str">
        <f>REN_Email</f>
        <v>eric.englert@pse.com</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1821000</v>
      </c>
      <c r="BN2">
        <f>REN_ERR_WOT</f>
        <v>0</v>
      </c>
      <c r="BO2">
        <f>REN_Expenditure_Amount_2014</f>
        <v>27810000</v>
      </c>
      <c r="BP2">
        <f>REN_Expenditure_Percent_2014</f>
        <v>1.3165762201054114E-2</v>
      </c>
      <c r="BQ2">
        <f>REN_Load_2012</f>
        <v>21138168</v>
      </c>
      <c r="BR2">
        <f>REN_Load_2013</f>
        <v>21208608</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0</v>
      </c>
      <c r="CB2">
        <f>REN_REC_WOT</f>
        <v>0</v>
      </c>
      <c r="CC2">
        <f>REN_RetailRevenueRequirement_2014</f>
        <v>2112297000</v>
      </c>
      <c r="CD2">
        <f>REN_Submittal_Date</f>
        <v>41789</v>
      </c>
      <c r="CE2">
        <f>REN_Total_2014</f>
        <v>1821000</v>
      </c>
      <c r="CF2" t="str">
        <f>REN_Utility_Name</f>
        <v>Puget Sound Energy</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purl.org/dc/dcmitype/"/>
    <ds:schemaRef ds:uri="http://schemas.microsoft.com/office/2006/documentManagement/types"/>
    <ds:schemaRef ds:uri="http://purl.org/dc/terms/"/>
    <ds:schemaRef ds:uri="http://purl.org/dc/elements/1.1/"/>
    <ds:schemaRef ds:uri="63979cc8-f6b2-4ee6-8bed-630b6048d169"/>
    <ds:schemaRef ds:uri="http://www.w3.org/XML/1998/namespace"/>
    <ds:schemaRef ds:uri="http://schemas.microsoft.com/sharepoint/v3"/>
    <ds:schemaRef ds:uri="http://schemas.microsoft.com/office/2006/metadata/properties"/>
    <ds:schemaRef ds:uri="http://schemas.microsoft.com/office/infopath/2007/PartnerControls"/>
    <ds:schemaRef ds:uri="http://schemas.openxmlformats.org/package/2006/metadata/core-properties"/>
    <ds:schemaRef ds:uri="59db5950-9a61-4c09-b3e2-fe6d472fba04"/>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2014-05-29T13:02:44Z</cp:lastPrinted>
  <dcterms:created xsi:type="dcterms:W3CDTF">2012-03-20T21:01:26Z</dcterms:created>
  <dcterms:modified xsi:type="dcterms:W3CDTF">2014-09-24T18:28:35Z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