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4005" windowWidth="15420" windowHeight="4050" tabRatio="719" activeTab="2"/>
  </bookViews>
  <sheets>
    <sheet name="Instructions - 2014" sheetId="21" r:id="rId1"/>
    <sheet name="Instructions - Revise 2012" sheetId="20" r:id="rId2"/>
    <sheet name="Conservation Report" sheetId="18" r:id="rId3"/>
    <sheet name="Renewables Report" sheetId="16" r:id="rId4"/>
    <sheet name="Data" sheetId="19" state="hidden" r:id="rId5"/>
  </sheets>
  <externalReferences>
    <externalReference r:id="rId6"/>
    <externalReference r:id="rId7"/>
  </externalReferences>
  <definedNames>
    <definedName name="CON_2012_Agriculture_Expend">'Conservation Report'!$E$20</definedName>
    <definedName name="CON_2012_Agriculture_MWH">'Conservation Report'!$D$20</definedName>
    <definedName name="CON_2012_Commercial_Expend">'Conservation Report'!$E$18</definedName>
    <definedName name="CON_2012_Commercial_MWH">'Conservation Report'!$D$18</definedName>
    <definedName name="CON_2012_Distribution_Expend">'Conservation Report'!$E$21</definedName>
    <definedName name="CON_2012_Distribution_MWH">'Conservation Report'!$D$21</definedName>
    <definedName name="CON_2012_Expenditures">'Conservation Report'!$E$29</definedName>
    <definedName name="CON_2012_Industrial_Expend">'Conservation Report'!$E$19</definedName>
    <definedName name="CON_2012_Industrial_MWH">'Conservation Report'!$D$19</definedName>
    <definedName name="CON_2012_MWH" localSheetId="0">'[1]Conservation Report'!$D$29</definedName>
    <definedName name="CON_2012_MWH">'Conservation Report'!$D$29</definedName>
    <definedName name="CON_2012_NEEA_Expend">'Conservation Report'!$E$23</definedName>
    <definedName name="CON_2012_NEEA_MWH">'Conservation Report'!$D$23</definedName>
    <definedName name="CON_2012_OtherSector1_Expend">'Conservation Report'!$E$24</definedName>
    <definedName name="CON_2012_OtherSector1_MWH">'Conservation Report'!$D$24</definedName>
    <definedName name="CON_2012_OtherSector2_Expend">'Conservation Report'!$E$25</definedName>
    <definedName name="CON_2012_OtherSector2_MWH">'Conservation Report'!$D$25</definedName>
    <definedName name="CON_2012_Production_Expend">'Conservation Report'!$E$22</definedName>
    <definedName name="CON_2012_Production_MWH">'Conservation Report'!$D$22</definedName>
    <definedName name="CON_2012_Program1_Expend">'Conservation Report'!$E$27</definedName>
    <definedName name="CON_2012_Program2_Expend">'Conservation Report'!$E$28</definedName>
    <definedName name="CON_2012_Residential_Expend">'Conservation Report'!$E$17</definedName>
    <definedName name="CON_2012_Residential_MWH">'Conservation Report'!$D$17</definedName>
    <definedName name="CON_2013_Agriculture_Expend">'Conservation Report'!$H$20</definedName>
    <definedName name="CON_2013_Agriculture_MWH">'Conservation Report'!$G$20</definedName>
    <definedName name="CON_2013_Commercial_Expend">'Conservation Report'!$H$18</definedName>
    <definedName name="CON_2013_Commercial_MWH">'Conservation Report'!$G$18</definedName>
    <definedName name="CON_2013_Distribution_Expend">'Conservation Report'!$H$21</definedName>
    <definedName name="CON_2013_Distribution_MWH">'Conservation Report'!$G$21</definedName>
    <definedName name="CON_2013_Expenditures">'Conservation Report'!$H$29</definedName>
    <definedName name="CON_2013_Industrial_Expend">'Conservation Report'!$H$19</definedName>
    <definedName name="CON_2013_Industrial_MWH">'Conservation Report'!$G$19</definedName>
    <definedName name="CON_2013_MWH" localSheetId="0">'[1]Conservation Report'!$G$29</definedName>
    <definedName name="CON_2013_MWH">'Conservation Report'!$G$29</definedName>
    <definedName name="CON_2013_NEEA_Expend">'Conservation Report'!$H$23</definedName>
    <definedName name="CON_2013_NEEA_MWH">'Conservation Report'!$G$23</definedName>
    <definedName name="CON_2013_OtherSector1_Expend">'Conservation Report'!$H$24</definedName>
    <definedName name="CON_2013_OtherSector1_MWH">'Conservation Report'!$G$24</definedName>
    <definedName name="CON_2013_OtherSector2_Expend">'Conservation Report'!$H$25</definedName>
    <definedName name="CON_2013_OtherSector2_MWH">'Conservation Report'!$G$25</definedName>
    <definedName name="CON_2013_Production_Expend">'Conservation Report'!$H$22</definedName>
    <definedName name="CON_2013_Production_MWH">'Conservation Report'!$G$22</definedName>
    <definedName name="CON_2013_Program1_Expend">'Conservation Report'!$H$27</definedName>
    <definedName name="CON_2013_Program2_Expend">'Conservation Report'!$H$28</definedName>
    <definedName name="CON_2013_Residential_Expend">'Conservation Report'!$H$17</definedName>
    <definedName name="CON_2013_Residential_MWH">'Conservation Report'!$G$17</definedName>
    <definedName name="CON_Contact_Name">'Conservation Report'!$C$5</definedName>
    <definedName name="CON_Email">'Conservation Report'!$C$7</definedName>
    <definedName name="CON_Phone">'Conservation Report'!$C$6</definedName>
    <definedName name="CON_Potential_2012_2021">'Conservation Report'!$B$12</definedName>
    <definedName name="CON_Potential_2014_2023">'Conservation Report'!$D$12</definedName>
    <definedName name="CON_Report_Date">'Conservation Report'!$C$4</definedName>
    <definedName name="CON_Target_2012_2013">'Conservation Report'!$C$12</definedName>
    <definedName name="CON_Target_2014_2015">'Conservation Report'!$E$12</definedName>
    <definedName name="CON_Utility_Name" localSheetId="0">'[1]Conservation Report'!$C$3:$E$3</definedName>
    <definedName name="CON_Utility_Name">'Conservation Report'!$C$3</definedName>
    <definedName name="_xlnm.Print_Area" localSheetId="2">'Conservation Report'!$A$1:$J$66</definedName>
    <definedName name="_xlnm.Print_Area" localSheetId="3">'Renewables Report'!$A$1:$O$137</definedName>
    <definedName name="REN_Contact_Name">'Renewables Report'!$C$5</definedName>
    <definedName name="REN_Email">'Renewables Report'!$C$7</definedName>
    <definedName name="REN_ERR_ApprenticeLabor">'Renewables Report'!$L$18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4">'Renewables Report'!$N$11</definedName>
    <definedName name="REN_Expenditure_Percent_2014">'Renewables Report'!$N$13</definedName>
    <definedName name="REN_Load_2012">'Renewables Report'!$N$3</definedName>
    <definedName name="REN_Load_2013">'Renewables Report'!$N$4</definedName>
    <definedName name="REN_REC_ApprenticeLabor">'Renewables Report'!$L$19</definedName>
    <definedName name="REN_REC_Biodiesel">'Renewables Report'!$J$19</definedName>
    <definedName name="REN_REC_Biomass">'Renewables Report'!$K$19</definedName>
    <definedName name="REN_REC_DistributedGeneration">'Renewables Report'!$M$19</definedName>
    <definedName name="REN_REC_Geothermal">'Renewables Report'!$F$19</definedName>
    <definedName name="REN_REC_LandfillGas">'Renewables Report'!$G$19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4">'Renewables Report'!$N$12</definedName>
    <definedName name="REN_Submittal_Date">'Renewables Report'!$C$4</definedName>
    <definedName name="REN_Total_2014">'Renewables Report'!$N$8</definedName>
    <definedName name="REN_Utility_Name">'Renewables Report'!$C$3</definedName>
    <definedName name="Target_2012_2013">'[1]Conservation Report'!$C$12</definedName>
    <definedName name="Target_2014_2015">'[1]Conservation Report'!$E$12</definedName>
  </definedNames>
  <calcPr calcId="145621"/>
</workbook>
</file>

<file path=xl/calcChain.xml><?xml version="1.0" encoding="utf-8"?>
<calcChain xmlns="http://schemas.openxmlformats.org/spreadsheetml/2006/main">
  <c r="F72" i="16" l="1"/>
  <c r="G25" i="18"/>
  <c r="G24" i="18"/>
  <c r="G19" i="18"/>
  <c r="G18" i="18"/>
  <c r="G17" i="18"/>
  <c r="G29" i="18" s="1"/>
  <c r="D25" i="18"/>
  <c r="D24" i="18"/>
  <c r="D19" i="18"/>
  <c r="D18" i="18"/>
  <c r="D17" i="18"/>
  <c r="D29" i="18" s="1"/>
  <c r="F66" i="16" l="1"/>
  <c r="F36" i="16"/>
  <c r="C25" i="18"/>
  <c r="C24" i="18"/>
  <c r="D19" i="16"/>
  <c r="N13" i="16" l="1"/>
  <c r="N5" i="16" l="1"/>
  <c r="N7" i="16" s="1"/>
  <c r="A2" i="19" l="1"/>
  <c r="CF2" i="19"/>
  <c r="CD2" i="19"/>
  <c r="CC2" i="19"/>
  <c r="CA2" i="19"/>
  <c r="BR2" i="19"/>
  <c r="BQ2" i="19"/>
  <c r="BO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BP2" i="19" l="1"/>
  <c r="C18" i="16" l="1"/>
  <c r="BL2" i="19" s="1"/>
  <c r="D18" i="16"/>
  <c r="E18" i="16"/>
  <c r="BK2" i="19" s="1"/>
  <c r="F18" i="16"/>
  <c r="BH2" i="19" s="1"/>
  <c r="G18" i="16"/>
  <c r="BI2" i="19" s="1"/>
  <c r="H18" i="16"/>
  <c r="BN2" i="19" s="1"/>
  <c r="I18" i="16"/>
  <c r="BJ2" i="19" s="1"/>
  <c r="J18" i="16"/>
  <c r="BF2" i="19" s="1"/>
  <c r="K18" i="16"/>
  <c r="BG2" i="19" s="1"/>
  <c r="L18" i="16"/>
  <c r="BE2" i="19" s="1"/>
  <c r="D20" i="16" l="1"/>
  <c r="BM2" i="19"/>
  <c r="J6" i="18"/>
  <c r="H6" i="18"/>
  <c r="C31" i="18"/>
  <c r="H29" i="18" l="1"/>
  <c r="AD2" i="19" s="1"/>
  <c r="AG2" i="19"/>
  <c r="E29" i="18"/>
  <c r="H2" i="19" s="1"/>
  <c r="K2" i="19"/>
  <c r="H7" i="18" l="1"/>
  <c r="H8" i="18" s="1"/>
  <c r="M19" i="16" l="1"/>
  <c r="BV2" i="19" s="1"/>
  <c r="M20" i="16" l="1"/>
  <c r="F99" i="16"/>
  <c r="L19" i="16"/>
  <c r="BS2" i="19" s="1"/>
  <c r="K19" i="16"/>
  <c r="BU2" i="19" s="1"/>
  <c r="J19" i="16"/>
  <c r="BT2" i="19" s="1"/>
  <c r="I19" i="16"/>
  <c r="BY2" i="19" s="1"/>
  <c r="H19" i="16"/>
  <c r="CB2" i="19" s="1"/>
  <c r="G19" i="16"/>
  <c r="BX2" i="19" s="1"/>
  <c r="F19" i="16"/>
  <c r="BW2" i="19" s="1"/>
  <c r="E19" i="16"/>
  <c r="BZ2" i="19" s="1"/>
  <c r="C20" i="16"/>
  <c r="F20" i="16" l="1"/>
  <c r="J20" i="16"/>
  <c r="E20" i="16"/>
  <c r="G20" i="16"/>
  <c r="I20" i="16"/>
  <c r="H20" i="16"/>
  <c r="L20" i="16"/>
  <c r="K20" i="16"/>
  <c r="N8" i="16" l="1"/>
  <c r="CE2" i="19" l="1"/>
  <c r="B2" i="19"/>
</calcChain>
</file>

<file path=xl/sharedStrings.xml><?xml version="1.0" encoding="utf-8"?>
<sst xmlns="http://schemas.openxmlformats.org/spreadsheetml/2006/main" count="335" uniqueCount="245">
  <si>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</si>
  <si>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</si>
  <si>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</si>
  <si>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</si>
  <si>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</si>
  <si>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</si>
  <si>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</si>
  <si>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</si>
  <si>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</si>
  <si>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</si>
  <si>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</si>
  <si>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</si>
  <si>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</si>
  <si>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</si>
  <si>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</si>
  <si>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</si>
  <si>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</si>
  <si>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</si>
  <si>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</si>
  <si>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</si>
  <si>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</si>
  <si>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</si>
  <si>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</si>
  <si>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</si>
  <si>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</si>
  <si>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</si>
  <si>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</si>
  <si>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</si>
  <si>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</si>
  <si>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</si>
  <si>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</si>
  <si>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</si>
  <si>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</si>
  <si>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</si>
  <si>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</si>
  <si>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</si>
  <si>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2012 - 2013 Planning</t>
  </si>
  <si>
    <t>Conservation Notes:</t>
  </si>
  <si>
    <t xml:space="preserve"> Distribution Efficiency</t>
  </si>
  <si>
    <t>Renewable Resources</t>
  </si>
  <si>
    <t xml:space="preserve">Wave, Ocean, Tidal </t>
  </si>
  <si>
    <t>Wave, Ocean, Tidal</t>
  </si>
  <si>
    <t>Conservation by Sector</t>
  </si>
  <si>
    <t>2012 Annual Load (MWh)</t>
  </si>
  <si>
    <t>Eligible Renewable Resources (MWh)</t>
  </si>
  <si>
    <t>Renewable Energy Credits (MWh)</t>
  </si>
  <si>
    <t>Total Renewables (MWh)</t>
  </si>
  <si>
    <t>Loads and Resources</t>
  </si>
  <si>
    <t>2012 Achievement</t>
  </si>
  <si>
    <t>Target Year</t>
  </si>
  <si>
    <t>2012 - 2013 Target (MWh)</t>
  </si>
  <si>
    <t>Select</t>
  </si>
  <si>
    <t xml:space="preserve">19.285.040 (2)(b) Renewables Target </t>
  </si>
  <si>
    <t>19.285.040 (2)(d) No Load Growth</t>
  </si>
  <si>
    <t xml:space="preserve">19.285.050 Incremental Resource Cost  </t>
  </si>
  <si>
    <t>Eligible Renewables Acquisitions / Investments (MWh)</t>
  </si>
  <si>
    <t>2013 Annual Load (MWh)</t>
  </si>
  <si>
    <t>Average of 2012 &amp; 2013 Annual Loads (MWh)</t>
  </si>
  <si>
    <t>2014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</si>
  <si>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2014</t>
    </r>
  </si>
  <si>
    <t>2014 Compliance Method:</t>
  </si>
  <si>
    <t>WREGIS ID</t>
  </si>
  <si>
    <t>REC Year</t>
  </si>
  <si>
    <t>MWh equiv.</t>
  </si>
  <si>
    <t>2014 Eligible Renewable Energy Target (MWh)</t>
  </si>
  <si>
    <t>Target (MWh)</t>
  </si>
  <si>
    <t>Achievement (MWh)</t>
  </si>
  <si>
    <t>Difference (MWh)</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</si>
  <si>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</si>
  <si>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</si>
  <si>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2013 Achievement</t>
  </si>
  <si>
    <t>2014 - 2015 Planning</t>
  </si>
  <si>
    <t>2014 - 2015 Target (MWh)</t>
  </si>
  <si>
    <t>2014-2023 Ten Year Potential (MWh)</t>
  </si>
  <si>
    <t>2012-2021 Ten Year Potential (MWh)</t>
  </si>
  <si>
    <r>
      <t>Description of Methodology:</t>
    </r>
    <r>
      <rPr>
        <b/>
        <sz val="10"/>
        <color theme="1"/>
        <rFont val="Arial"/>
        <family val="2"/>
      </rPr>
      <t xml:space="preserve">
</t>
    </r>
  </si>
  <si>
    <r>
      <rPr>
        <sz val="12"/>
        <color theme="1"/>
        <rFont val="Arial"/>
        <family val="2"/>
      </rPr>
      <t xml:space="preserve">Energy Independence Act (I-937) </t>
    </r>
    <r>
      <rPr>
        <sz val="12"/>
        <color theme="1"/>
        <rFont val="Arial Black"/>
        <family val="2"/>
      </rPr>
      <t>Conservation Report 2014</t>
    </r>
  </si>
  <si>
    <t>Documentation of the calculation and inputs for percentage of revenue requirement invested in renewables:</t>
  </si>
  <si>
    <t>Other notes and explanations:</t>
  </si>
  <si>
    <t>Biennial</t>
  </si>
  <si>
    <t>2012-2013</t>
  </si>
  <si>
    <t>2014-2015</t>
  </si>
  <si>
    <t>Contact Name/Dept</t>
  </si>
  <si>
    <t>Report Date</t>
  </si>
  <si>
    <t>Summary of Achievement and Targets</t>
  </si>
  <si>
    <t>     (j)</t>
  </si>
  <si>
    <t>     (k)</t>
  </si>
  <si>
    <t>CON_2012_Agriculture_Expend</t>
  </si>
  <si>
    <t>CON_2012_Agriculture_MWH</t>
  </si>
  <si>
    <t>CON_2012_Commercial_Expend</t>
  </si>
  <si>
    <t>CON_2012_Commercial_MWH</t>
  </si>
  <si>
    <t>CON_2012_Distribution_Expend</t>
  </si>
  <si>
    <t>CON_2012_Distribution_MWH</t>
  </si>
  <si>
    <t>CON_2012_Expenditures</t>
  </si>
  <si>
    <t>CON_2012_Industrial_Expend</t>
  </si>
  <si>
    <t>CON_2012_Industrial_MWH</t>
  </si>
  <si>
    <t>CON_2012_MWH</t>
  </si>
  <si>
    <t>CON_2012_NEEA_Expend</t>
  </si>
  <si>
    <t>CON_2012_NEEA_MWH</t>
  </si>
  <si>
    <t>CON_2012_OtherSector1_Expend</t>
  </si>
  <si>
    <t>CON_2012_OtherSector1_MWH</t>
  </si>
  <si>
    <t>CON_2012_OtherSector2_Expend</t>
  </si>
  <si>
    <t>CON_2012_OtherSector2_MWH</t>
  </si>
  <si>
    <t>CON_2012_Production_Expend</t>
  </si>
  <si>
    <t>CON_2012_Production_MWH</t>
  </si>
  <si>
    <t>CON_2012_Program1_Expend</t>
  </si>
  <si>
    <t>CON_2012_Program2_Expend</t>
  </si>
  <si>
    <t>CON_2012_Residential_Expend</t>
  </si>
  <si>
    <t>CON_2012_Residential_MWH</t>
  </si>
  <si>
    <t>CON_2013_Agriculture_Expend</t>
  </si>
  <si>
    <t>CON_2013_Agriculture_MWH</t>
  </si>
  <si>
    <t>CON_2013_Commercial_Expend</t>
  </si>
  <si>
    <t>CON_2013_Commercial_MWH</t>
  </si>
  <si>
    <t>CON_2013_Distribution_Expend</t>
  </si>
  <si>
    <t>CON_2013_Distribution_MWH</t>
  </si>
  <si>
    <t>CON_2013_Expenditures</t>
  </si>
  <si>
    <t>CON_2013_Industrial_Expend</t>
  </si>
  <si>
    <t>CON_2013_Industrial_MWH</t>
  </si>
  <si>
    <t>CON_2013_MWH</t>
  </si>
  <si>
    <t>CON_2013_NEEA_Expend</t>
  </si>
  <si>
    <t>CON_2013_NEEA_MWH</t>
  </si>
  <si>
    <t>CON_2013_OtherSector1_Expend</t>
  </si>
  <si>
    <t>CON_2013_OtherSector1_MWH</t>
  </si>
  <si>
    <t>CON_2013_OtherSector2_Expend</t>
  </si>
  <si>
    <t>CON_2013_OtherSector2_MWH</t>
  </si>
  <si>
    <t>CON_2013_Production_Expend</t>
  </si>
  <si>
    <t>CON_2013_Production_MWH</t>
  </si>
  <si>
    <t>CON_2013_Program1_Expend</t>
  </si>
  <si>
    <t>CON_2013_Program2_Expend</t>
  </si>
  <si>
    <t>CON_2013_Residential_Expend</t>
  </si>
  <si>
    <t>CON_2013_Residential_MWH</t>
  </si>
  <si>
    <t>CON_Contact_Name</t>
  </si>
  <si>
    <t>CON_Email</t>
  </si>
  <si>
    <t>CON_Phone</t>
  </si>
  <si>
    <t>CON_Report_Date</t>
  </si>
  <si>
    <t>CON_Utility_Name</t>
  </si>
  <si>
    <t>REN_Contact_Name</t>
  </si>
  <si>
    <t>REN_Email</t>
  </si>
  <si>
    <t>REN_Submittal_Date</t>
  </si>
  <si>
    <t>REN_Utility_Name</t>
  </si>
  <si>
    <t>CON_Potential_2012_2021</t>
  </si>
  <si>
    <t>CON_Potential_2014_2023</t>
  </si>
  <si>
    <t>CON_Target_2012_2013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</si>
  <si>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</si>
  <si>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</si>
  <si>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</si>
  <si>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</si>
  <si>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</si>
  <si>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</si>
  <si>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</si>
  <si>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</si>
  <si>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</si>
  <si>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</si>
  <si>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</si>
  <si>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</si>
  <si>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</si>
  <si>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</si>
  <si>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</si>
  <si>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</si>
  <si>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</si>
  <si>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</si>
  <si>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</si>
  <si>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</si>
  <si>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</si>
  <si>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</si>
  <si>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</si>
  <si>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</si>
  <si>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Expenditures on Renewable Resources and RECs - 2014</t>
  </si>
  <si>
    <t>Investment in renewables and RECs as a percent of retail revenue requirement</t>
  </si>
  <si>
    <t>REN_Expenditure_Amount_2014</t>
  </si>
  <si>
    <t>REN_Expenditure_Percent_2014</t>
  </si>
  <si>
    <t>REN_RetailRevenueRequirement_2014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</si>
  <si>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</si>
  <si>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</si>
  <si>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t>Total annual retail revenue requirement - 2014</t>
  </si>
  <si>
    <t>RENEWABLE ENERGY WORKSHEET – REVISIONS TO 2012 REPORT</t>
  </si>
  <si>
    <t xml:space="preserve">Please use the 2012 template and mark it as revised. Contact Commerce to obtain a copy of the 2012 reporting template if necessary. </t>
  </si>
  <si>
    <r>
      <t xml:space="preserve">Energy Independence Act (I-937) </t>
    </r>
    <r>
      <rPr>
        <sz val="11"/>
        <color rgb="FF000000"/>
        <rFont val="Arial Black"/>
        <family val="2"/>
      </rPr>
      <t>Report Workbook Instructions</t>
    </r>
  </si>
  <si>
    <r>
      <t>Deadline:</t>
    </r>
    <r>
      <rPr>
        <sz val="11"/>
        <color rgb="FF000000"/>
        <rFont val="Arial"/>
        <family val="2"/>
      </rPr>
      <t xml:space="preserve"> Friday, June 1, 2014</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</si>
  <si>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</si>
  <si>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r>
      <t>Questions:</t>
    </r>
    <r>
      <rPr>
        <sz val="11"/>
        <color rgb="FF000000"/>
        <rFont val="Arial"/>
        <family val="2"/>
      </rPr>
      <t xml:space="preserve"> Glenn Blackmon, State Energy Office, (360) 725-3115</t>
    </r>
  </si>
  <si>
    <t xml:space="preserve">The Energy Independence Act (EIA) “RCW 19.285.070, Reporting and public disclosure” requires each qualifying utility to submit an annual report describing compliance with the law. </t>
  </si>
  <si>
    <t>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</si>
  <si>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 xml:space="preserve">Contains one worksheet for Renewables and one for Conservation. </t>
    </r>
  </si>
  <si>
    <r>
      <t xml:space="preserve">Each worksheet includes formulas for drawing results from input. Gray areas are for data input. Yellow areas are supported by formulas and require no inputs. In some cases you will want to skip over a yellow section because it summarizes detailed data that follow. The workbook requests numeric summaries as well as narratives and supporting notes. Commerce relies on the utilities to provide enough detail in the written section to ensure members of the public understand the data provided. </t>
    </r>
    <r>
      <rPr>
        <b/>
        <sz val="11"/>
        <color rgb="FF000000"/>
        <rFont val="Arial"/>
        <family val="2"/>
      </rPr>
      <t>Please submit this Workbook in Excel format (i.e., do not submit in PDF format).</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</si>
  <si>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</si>
  <si>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</si>
  <si>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 xml:space="preserve">Reporting Context: </t>
    </r>
    <r>
      <rPr>
        <sz val="11"/>
        <color rgb="FF000000"/>
        <rFont val="Arial"/>
        <family val="2"/>
      </rPr>
      <t xml:space="preserve">The conservation report includes two elements: </t>
    </r>
  </si>
  <si>
    <t>(1) a report of conservation achievement in the prior (2012-2013) biennial period relative to the targets established by the utility for that period.</t>
  </si>
  <si>
    <t>(2) a report of the utility’s 10-year conservation potential and biennial target for the 2014-2015 period.</t>
  </si>
  <si>
    <r>
      <t>Planning:</t>
    </r>
    <r>
      <rPr>
        <sz val="11"/>
        <color rgb="FF000000"/>
        <rFont val="Arial"/>
        <family val="2"/>
      </rPr>
      <t xml:space="preserve"> </t>
    </r>
  </si>
  <si>
    <r>
      <t>·</t>
    </r>
    <r>
      <rPr>
        <sz val="7"/>
        <color rgb="FF000000"/>
        <rFont val="Times New Roman"/>
        <family val="1"/>
      </rPr>
      <t xml:space="preserve">         </t>
    </r>
    <r>
      <rPr>
        <sz val="11"/>
        <color rgb="FF000000"/>
        <rFont val="Arial"/>
        <family val="2"/>
      </rPr>
      <t xml:space="preserve">For the period starting January 2012, report the utility’s 10-year potential and two-year target. </t>
    </r>
    <r>
      <rPr>
        <i/>
        <sz val="11"/>
        <color rgb="FF000000"/>
        <rFont val="Arial"/>
        <family val="2"/>
      </rPr>
      <t>If the 2012-2013 target is different from the value in the utility’s June 1, 2013, report, please provide an explanation of the difference in the Conservation Notes section.</t>
    </r>
    <r>
      <rPr>
        <sz val="11"/>
        <color rgb="FF000000"/>
        <rFont val="Arial"/>
        <family val="2"/>
      </rPr>
      <t xml:space="preserve">  </t>
    </r>
  </si>
  <si>
    <r>
      <t>·</t>
    </r>
    <r>
      <rPr>
        <sz val="7"/>
        <color rgb="FF000000"/>
        <rFont val="Times New Roman"/>
        <family val="1"/>
      </rPr>
      <t xml:space="preserve">         </t>
    </r>
    <r>
      <rPr>
        <sz val="11"/>
        <color rgb="FF000000"/>
        <rFont val="Arial"/>
        <family val="2"/>
      </rPr>
      <t>For the period starting in 2014, report the utility’s 10-year potential and two-year target as established by the utility by January 1, 2014.</t>
    </r>
  </si>
  <si>
    <r>
      <t>Achievement:</t>
    </r>
    <r>
      <rPr>
        <sz val="11"/>
        <color rgb="FF000000"/>
        <rFont val="Arial"/>
        <family val="2"/>
      </rPr>
      <t xml:space="preserve"> Report electric energy savings and conservation program cost in this section. The report shall include total electricity savings and cost by customer sector (residential, commercial, industrial, and agricultural), by production efficiencies, and by distribution efficiencies. The sectors listed are per WAC 194-37-060. Because it is a major category, we have listed NEEA separately.</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</si>
  <si>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</si>
  <si>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r>
      <t>Conservation Expenditures NOT included in Sector Expenditures:</t>
    </r>
    <r>
      <rPr>
        <sz val="11"/>
        <color rgb="FF000000"/>
        <rFont val="Arial"/>
        <family val="2"/>
      </rPr>
      <t xml:space="preserve"> Some utilities have indicated they do not break down expenditures on staff, overhead, information services or other conservation- related expenses by sector. If that is the case, provide additional cost-related information in this section of the worksheet. Do not include energy savings estimates in this section.</t>
    </r>
  </si>
  <si>
    <r>
      <t>Methodology:</t>
    </r>
    <r>
      <rPr>
        <sz val="11"/>
        <color rgb="FF000000"/>
        <rFont val="Arial"/>
        <family val="2"/>
      </rPr>
      <t xml:space="preserve"> Describe the methodology used to establish the utility's ten-year potential and biennial targets for the period beginning January 1, 2014. Utilities are expected to provide sufficient detail for full public disclosure. We recommend you reference any detailed plans as approved by consumer owned utility governing authorities or investor owned utility regulators. Include web site addresses and utility contact information for referenced documentation. Planning and decision documents may be included as attachments.</t>
    </r>
  </si>
  <si>
    <t>Utilities should specifically state which of the three methods described in WAC 194-37-070, as the rule existed when the utility established its target in 2013. (WAC 194-37-070 was amended in February 2014.) The three methods are:</t>
  </si>
  <si>
    <r>
      <t>·</t>
    </r>
    <r>
      <rPr>
        <sz val="7"/>
        <color rgb="FF000000"/>
        <rFont val="Times New Roman"/>
        <family val="1"/>
      </rPr>
      <t xml:space="preserve">         </t>
    </r>
    <r>
      <rPr>
        <sz val="11"/>
        <color rgb="FF000000"/>
        <rFont val="Arial"/>
        <family val="2"/>
      </rPr>
      <t>Conservation Calculator Option: WAC 194-37-070(4).</t>
    </r>
  </si>
  <si>
    <r>
      <t>·</t>
    </r>
    <r>
      <rPr>
        <sz val="7"/>
        <color rgb="FF000000"/>
        <rFont val="Times New Roman"/>
        <family val="1"/>
      </rPr>
      <t xml:space="preserve">         </t>
    </r>
    <r>
      <rPr>
        <sz val="11"/>
        <color rgb="FF000000"/>
        <rFont val="Arial"/>
        <family val="2"/>
      </rPr>
      <t>Modified Conservation Calculator Option: WAC 194-37-070(5).</t>
    </r>
  </si>
  <si>
    <r>
      <t>·</t>
    </r>
    <r>
      <rPr>
        <sz val="7"/>
        <color rgb="FF000000"/>
        <rFont val="Times New Roman"/>
        <family val="1"/>
      </rPr>
      <t xml:space="preserve">         </t>
    </r>
    <r>
      <rPr>
        <sz val="11"/>
        <color rgb="FF000000"/>
        <rFont val="Arial"/>
        <family val="2"/>
      </rPr>
      <t>Utility Analysis Option: WAC 194-37-070(6).</t>
    </r>
  </si>
  <si>
    <r>
      <t xml:space="preserve">Conservation Notes: </t>
    </r>
    <r>
      <rPr>
        <sz val="11"/>
        <color rgb="FF000000"/>
        <rFont val="Arial"/>
        <family val="2"/>
      </rPr>
      <t>At the end of this worksheet you will find a text box called “Conservation Notes”. This is a place for any additional explanatory statements, web links or references the utility would like to include.</t>
    </r>
  </si>
  <si>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</si>
  <si>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</si>
  <si>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Reporting Context:</t>
    </r>
    <r>
      <rPr>
        <sz val="11"/>
        <color rgb="FF000000"/>
        <rFont val="Arial"/>
        <family val="2"/>
      </rPr>
      <t xml:space="preserve"> The June 1, 2014 renewable energy report summarizes the eligible renewables resource and renewable energy credits that the utility has acquired and or has under contract by January 1, 2014. This describes the renewables acquisitions and investments made prior to the beginning of the target year to meet the requirements of the EIA. </t>
    </r>
  </si>
  <si>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</si>
  <si>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r>
      <t>Compliance Method:</t>
    </r>
    <r>
      <rPr>
        <sz val="11"/>
        <color rgb="FF000000"/>
        <rFont val="Arial"/>
        <family val="2"/>
      </rPr>
      <t xml:space="preserve"> Select one or more of the three compliance methods that the utility intends to use. The EIA provides three compliance methods. A utility must make that determination by January 1, 2014 and must include information establishing its compliance method in this report.</t>
    </r>
  </si>
  <si>
    <t>Expenditures [NEW for 2014]</t>
  </si>
  <si>
    <t>Utilities must report the percentage of retail revenue requirement invested in the incremental cost of eligible renewable resources and the cost of renewable energy credits. No specific method of calculating this percentage is required, but each utility must include in its report documentation of the calculations and inputs to this amount. WAC 194-37-110, effective 2/24/2014.</t>
  </si>
  <si>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480-109-040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</si>
  <si>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E and apprentice labor MWh equivalents in column l.</t>
    </r>
  </si>
  <si>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provide two rows for entry.</t>
    </r>
  </si>
  <si>
    <t>Additional reporting for compliance option 19.285.040(2)(d), “no load growth”</t>
  </si>
  <si>
    <t>Utilities electing to comply using the no-load growth method should attach a separate report with the data elements specified in WAC 194-37-110(5), effective 2/24/2014. Investor owned utilities should provide a summary of documentation required by the Utilities and Transportation Commission.</t>
  </si>
  <si>
    <t>Additional reporting for compliance option RCW 19.285.050, “cost cap”</t>
  </si>
  <si>
    <t>Utilities electing to comply using the cost cap method should attach a separate report with the data elements specified in WAC 194-37-110(4), effective 2/24/2014. Investor owned utilities should provide a summary of documentation required by the Utilities and Transportation Commission.</t>
  </si>
  <si>
    <r>
      <t>[Page 4] Notes:</t>
    </r>
    <r>
      <rPr>
        <sz val="11"/>
        <color rgb="FF000000"/>
        <rFont val="Arial"/>
        <family val="2"/>
      </rPr>
      <t xml:space="preserve"> Provide any additional information needed to support your renewables data.</t>
    </r>
  </si>
  <si>
    <r>
      <t xml:space="preserve">In addition to submitting the 2014 report, each qualifying utility should review the report it submitted in 2012. In many cases, the specific resources and quantities actually used to comply with the 2012 target differ from what the utility reported in June 2012. </t>
    </r>
    <r>
      <rPr>
        <u/>
        <sz val="11"/>
        <color theme="1"/>
        <rFont val="Arial"/>
        <family val="2"/>
      </rPr>
      <t>Utilities should submit a revised 2012 report if the actual values differ from the values reported in 2012.</t>
    </r>
    <r>
      <rPr>
        <sz val="11"/>
        <color theme="1"/>
        <rFont val="Arial"/>
        <family val="2"/>
      </rPr>
      <t xml:space="preserve"> </t>
    </r>
  </si>
  <si>
    <t>PUD #1 OF BENTON COUNTY</t>
  </si>
  <si>
    <t>Mike Murray/Power Management</t>
  </si>
  <si>
    <t>(509)585-5362</t>
  </si>
  <si>
    <t>murraym@bentonpud.org</t>
  </si>
  <si>
    <t>June 1, 2014</t>
  </si>
  <si>
    <t>W360</t>
  </si>
  <si>
    <t>W697</t>
  </si>
  <si>
    <t>W684</t>
  </si>
  <si>
    <t>W833</t>
  </si>
  <si>
    <t>W774</t>
  </si>
  <si>
    <t>W238</t>
  </si>
  <si>
    <t>W237</t>
  </si>
  <si>
    <t>W248</t>
  </si>
  <si>
    <t>White Creek Wind 1</t>
  </si>
  <si>
    <t>Nine Canyon Phase 3</t>
  </si>
  <si>
    <t>Nine Canyon Wind Project</t>
  </si>
  <si>
    <t>Condon Phase II</t>
  </si>
  <si>
    <t>Condon Wind Power Project</t>
  </si>
  <si>
    <t>Klondike I</t>
  </si>
  <si>
    <t>Klondike III</t>
  </si>
  <si>
    <t>Stateline</t>
  </si>
  <si>
    <t>Grand Coulee - G3</t>
  </si>
  <si>
    <t>W3802</t>
  </si>
  <si>
    <t>(1)</t>
  </si>
  <si>
    <t>(2)</t>
  </si>
  <si>
    <t>Irrigation Scheduling</t>
  </si>
  <si>
    <t>June 1, 2014 (revised 8/26/14)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</si>
</sst>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4" x14ac:knownFonts="1">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sz val="10"/>
      <color rgb="FFFF0000"/>
      <name val="Arial"/>
      <family val="2"/>
    </font>
    <font>
      <sz val="10"/>
      <color theme="6" tint="-0.499984740745262"/>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s>
  <fills count="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s>
  <borders count="49">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cellStyleXfs>
  <cellXfs count="192">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165" fontId="10" fillId="3" borderId="1" xfId="1" applyNumberFormat="1" applyFont="1" applyFill="1" applyBorder="1"/>
    <xf numFmtId="165" fontId="10" fillId="3" borderId="2" xfId="1" applyNumberFormat="1" applyFont="1" applyFill="1" applyBorder="1"/>
    <xf numFmtId="165" fontId="10" fillId="3" borderId="3" xfId="1" applyNumberFormat="1" applyFont="1" applyFill="1" applyBorder="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alignment vertical="top"/>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0" fillId="2" borderId="0" xfId="0" applyFont="1" applyFill="1" applyBorder="1" applyAlignment="1"/>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165" fontId="11" fillId="3" borderId="11" xfId="0" applyNumberFormat="1" applyFont="1" applyFill="1" applyBorder="1" applyAlignment="1">
      <alignment horizontal="center"/>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3" fillId="4" borderId="14" xfId="0" applyFont="1" applyFill="1" applyBorder="1" applyAlignment="1">
      <alignment horizontal="right"/>
    </xf>
    <xf numFmtId="0" fontId="11" fillId="4" borderId="14" xfId="0" applyFont="1" applyFill="1" applyBorder="1"/>
    <xf numFmtId="0" fontId="11" fillId="4" borderId="15" xfId="0" applyFont="1" applyFill="1" applyBorder="1"/>
    <xf numFmtId="0" fontId="11" fillId="4" borderId="12" xfId="0" applyFont="1" applyFill="1" applyBorder="1"/>
    <xf numFmtId="0" fontId="11" fillId="4" borderId="16" xfId="0" applyFont="1" applyFill="1" applyBorder="1"/>
    <xf numFmtId="0" fontId="1" fillId="4" borderId="20" xfId="0" applyFont="1" applyFill="1" applyBorder="1" applyAlignment="1">
      <alignment horizontal="right"/>
    </xf>
    <xf numFmtId="0" fontId="1" fillId="4" borderId="14" xfId="0" applyFont="1" applyFill="1" applyBorder="1" applyAlignment="1">
      <alignment horizontal="right"/>
    </xf>
    <xf numFmtId="0" fontId="1" fillId="4" borderId="14" xfId="0" applyFont="1" applyFill="1" applyBorder="1" applyAlignment="1">
      <alignment horizontal="right" wrapText="1"/>
    </xf>
    <xf numFmtId="165" fontId="10" fillId="4" borderId="22" xfId="1" applyNumberFormat="1" applyFont="1" applyFill="1" applyBorder="1"/>
    <xf numFmtId="165" fontId="10" fillId="4" borderId="1" xfId="1" applyNumberFormat="1" applyFont="1" applyFill="1" applyBorder="1"/>
    <xf numFmtId="165" fontId="10" fillId="4" borderId="17" xfId="1" applyNumberFormat="1" applyFont="1" applyFill="1" applyBorder="1"/>
    <xf numFmtId="165" fontId="10" fillId="4" borderId="23" xfId="1" applyNumberFormat="1" applyFont="1" applyFill="1" applyBorder="1"/>
    <xf numFmtId="165" fontId="10" fillId="4" borderId="24" xfId="1" applyNumberFormat="1" applyFont="1" applyFill="1" applyBorder="1"/>
    <xf numFmtId="165" fontId="10" fillId="4" borderId="25" xfId="1" applyNumberFormat="1" applyFont="1" applyFill="1" applyBorder="1"/>
    <xf numFmtId="165" fontId="10" fillId="4" borderId="26" xfId="1" applyNumberFormat="1" applyFont="1" applyFill="1" applyBorder="1"/>
    <xf numFmtId="165" fontId="10" fillId="4" borderId="2" xfId="1" applyNumberFormat="1" applyFont="1" applyFill="1" applyBorder="1"/>
    <xf numFmtId="165" fontId="10" fillId="4" borderId="18" xfId="1" applyNumberFormat="1" applyFont="1" applyFill="1" applyBorder="1"/>
    <xf numFmtId="165" fontId="16" fillId="4" borderId="10" xfId="1" applyNumberFormat="1" applyFont="1" applyFill="1" applyBorder="1" applyAlignment="1">
      <alignment horizontal="center"/>
    </xf>
    <xf numFmtId="165" fontId="16" fillId="4" borderId="6" xfId="1" applyNumberFormat="1" applyFont="1" applyFill="1" applyBorder="1" applyAlignment="1">
      <alignment horizontal="center"/>
    </xf>
    <xf numFmtId="165" fontId="10" fillId="4" borderId="6" xfId="1" applyNumberFormat="1" applyFont="1" applyFill="1" applyBorder="1"/>
    <xf numFmtId="165" fontId="10" fillId="4" borderId="11" xfId="1" applyNumberFormat="1" applyFont="1" applyFill="1" applyBorder="1"/>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0" fillId="2" borderId="0" xfId="0" applyFont="1" applyFill="1" applyBorder="1" applyAlignment="1">
      <alignment horizontal="left"/>
    </xf>
    <xf numFmtId="0" fontId="19" fillId="2" borderId="29" xfId="0" applyFont="1" applyFill="1" applyBorder="1" applyAlignment="1">
      <alignment horizontal="right"/>
    </xf>
    <xf numFmtId="0" fontId="19" fillId="2" borderId="30" xfId="0" applyFont="1" applyFill="1" applyBorder="1" applyAlignment="1">
      <alignment horizontal="right"/>
    </xf>
    <xf numFmtId="0" fontId="19" fillId="2" borderId="0" xfId="0" applyFont="1" applyFill="1" applyAlignment="1">
      <alignment horizontal="right"/>
    </xf>
    <xf numFmtId="0" fontId="20" fillId="2" borderId="0" xfId="0" applyFont="1" applyFill="1"/>
    <xf numFmtId="0" fontId="20" fillId="2" borderId="0" xfId="0" applyFont="1" applyFill="1" applyBorder="1" applyAlignment="1"/>
    <xf numFmtId="0" fontId="19" fillId="2" borderId="0" xfId="0" applyFont="1" applyFill="1" applyBorder="1"/>
    <xf numFmtId="0" fontId="19" fillId="2" borderId="0" xfId="0" applyFont="1" applyFill="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 fillId="2" borderId="0" xfId="0" applyFont="1" applyFill="1" applyBorder="1" applyAlignment="1">
      <alignment horizontal="right"/>
    </xf>
    <xf numFmtId="0" fontId="7" fillId="2" borderId="0" xfId="0" applyNumberFormat="1"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xf>
    <xf numFmtId="0" fontId="3" fillId="2" borderId="0" xfId="0" applyFont="1" applyFill="1" applyAlignment="1">
      <alignment horizontal="center"/>
    </xf>
    <xf numFmtId="0" fontId="1" fillId="4" borderId="34" xfId="0" applyFont="1" applyFill="1" applyBorder="1" applyAlignment="1">
      <alignment horizontal="right"/>
    </xf>
    <xf numFmtId="0" fontId="1" fillId="4" borderId="12" xfId="0" applyFont="1" applyFill="1" applyBorder="1" applyAlignment="1">
      <alignment horizontal="right"/>
    </xf>
    <xf numFmtId="0" fontId="1" fillId="4" borderId="12" xfId="0" applyFont="1" applyFill="1" applyBorder="1" applyAlignment="1">
      <alignment horizontal="right" wrapText="1"/>
    </xf>
    <xf numFmtId="0" fontId="3" fillId="4" borderId="12" xfId="0" applyFont="1" applyFill="1" applyBorder="1" applyAlignment="1">
      <alignment horizontal="right"/>
    </xf>
    <xf numFmtId="0" fontId="1" fillId="2" borderId="0" xfId="0" applyFont="1" applyFill="1" applyBorder="1" applyAlignment="1">
      <alignment horizontal="right"/>
    </xf>
    <xf numFmtId="0" fontId="10" fillId="2" borderId="33" xfId="0" applyFont="1" applyFill="1" applyBorder="1"/>
    <xf numFmtId="3" fontId="10" fillId="3" borderId="37" xfId="0" applyNumberFormat="1" applyFont="1" applyFill="1" applyBorder="1" applyAlignment="1">
      <alignment horizontal="center"/>
    </xf>
    <xf numFmtId="9" fontId="1" fillId="3" borderId="37" xfId="0" applyNumberFormat="1" applyFont="1" applyFill="1" applyBorder="1" applyAlignment="1">
      <alignment horizontal="center"/>
    </xf>
    <xf numFmtId="0" fontId="10" fillId="2" borderId="38" xfId="0" applyFont="1" applyFill="1" applyBorder="1"/>
    <xf numFmtId="0" fontId="10" fillId="2" borderId="32" xfId="0" applyFont="1" applyFill="1" applyBorder="1"/>
    <xf numFmtId="0" fontId="1" fillId="2" borderId="32" xfId="0" applyFont="1" applyFill="1" applyBorder="1" applyAlignment="1">
      <alignment horizontal="right"/>
    </xf>
    <xf numFmtId="3" fontId="10" fillId="3" borderId="13" xfId="0" applyNumberFormat="1" applyFont="1" applyFill="1" applyBorder="1" applyAlignment="1">
      <alignment horizontal="center"/>
    </xf>
    <xf numFmtId="0" fontId="22" fillId="2" borderId="0" xfId="0" applyFont="1" applyFill="1" applyBorder="1" applyAlignment="1"/>
    <xf numFmtId="0" fontId="10" fillId="2" borderId="0" xfId="0" applyFont="1" applyFill="1" applyAlignment="1">
      <alignment horizontal="left"/>
    </xf>
    <xf numFmtId="0" fontId="1" fillId="2" borderId="0" xfId="0" applyFont="1" applyFill="1" applyAlignment="1">
      <alignment horizontal="right"/>
    </xf>
    <xf numFmtId="165" fontId="17" fillId="3" borderId="20" xfId="0" applyNumberFormat="1" applyFont="1" applyFill="1" applyBorder="1"/>
    <xf numFmtId="165" fontId="17" fillId="3" borderId="19" xfId="0" applyNumberFormat="1" applyFont="1" applyFill="1" applyBorder="1"/>
    <xf numFmtId="165" fontId="17" fillId="3" borderId="14" xfId="0" applyNumberFormat="1" applyFont="1" applyFill="1" applyBorder="1"/>
    <xf numFmtId="165" fontId="17" fillId="3" borderId="15" xfId="0" applyNumberFormat="1" applyFont="1" applyFill="1" applyBorder="1"/>
    <xf numFmtId="0" fontId="11" fillId="2" borderId="10" xfId="0" applyFont="1" applyFill="1" applyBorder="1" applyAlignment="1">
      <alignment horizontal="center" wrapText="1"/>
    </xf>
    <xf numFmtId="0" fontId="11" fillId="2" borderId="39" xfId="0" applyFont="1" applyFill="1" applyBorder="1" applyAlignment="1">
      <alignment horizontal="center" wrapText="1"/>
    </xf>
    <xf numFmtId="165" fontId="11" fillId="5" borderId="11" xfId="1" applyNumberFormat="1" applyFont="1" applyFill="1" applyBorder="1" applyAlignment="1">
      <alignment horizontal="right"/>
    </xf>
    <xf numFmtId="165" fontId="11" fillId="5" borderId="2" xfId="1" applyNumberFormat="1" applyFont="1" applyFill="1" applyBorder="1" applyAlignment="1">
      <alignment horizontal="right"/>
    </xf>
    <xf numFmtId="165" fontId="11" fillId="5" borderId="18" xfId="1" applyNumberFormat="1" applyFont="1" applyFill="1" applyBorder="1" applyAlignment="1">
      <alignment horizontal="right"/>
    </xf>
    <xf numFmtId="165" fontId="10" fillId="5" borderId="6" xfId="1" applyNumberFormat="1" applyFont="1" applyFill="1" applyBorder="1" applyAlignment="1">
      <alignment horizontal="center"/>
    </xf>
    <xf numFmtId="165" fontId="10" fillId="5" borderId="6" xfId="0" applyNumberFormat="1" applyFont="1" applyFill="1" applyBorder="1" applyAlignment="1">
      <alignment horizontal="center"/>
    </xf>
    <xf numFmtId="0" fontId="11" fillId="5" borderId="12" xfId="0" applyFont="1" applyFill="1" applyBorder="1" applyAlignment="1">
      <alignment vertical="center" wrapText="1"/>
    </xf>
    <xf numFmtId="164" fontId="10" fillId="6" borderId="27" xfId="0" applyNumberFormat="1" applyFont="1" applyFill="1" applyBorder="1" applyAlignment="1">
      <alignment horizontal="center"/>
    </xf>
    <xf numFmtId="0" fontId="10" fillId="2" borderId="33" xfId="0" applyFont="1" applyFill="1" applyBorder="1" applyAlignment="1"/>
    <xf numFmtId="0" fontId="10" fillId="4" borderId="12" xfId="0" applyFont="1" applyFill="1" applyBorder="1" applyAlignment="1">
      <alignment horizontal="center"/>
    </xf>
    <xf numFmtId="0" fontId="11" fillId="2" borderId="0" xfId="0" applyFont="1" applyFill="1" applyAlignment="1">
      <alignment horizontal="center"/>
    </xf>
    <xf numFmtId="0" fontId="10" fillId="0" borderId="41" xfId="0" applyFont="1" applyBorder="1" applyAlignment="1"/>
    <xf numFmtId="0" fontId="3" fillId="2" borderId="41" xfId="0" applyFont="1" applyFill="1" applyBorder="1" applyAlignment="1">
      <alignment horizontal="center"/>
    </xf>
    <xf numFmtId="164" fontId="10" fillId="7" borderId="27" xfId="0" applyNumberFormat="1" applyFont="1" applyFill="1" applyBorder="1" applyAlignment="1">
      <alignment horizontal="center"/>
    </xf>
    <xf numFmtId="164" fontId="10" fillId="7" borderId="28" xfId="0" applyNumberFormat="1" applyFont="1" applyFill="1" applyBorder="1" applyAlignment="1">
      <alignment horizontal="center"/>
    </xf>
    <xf numFmtId="169" fontId="10" fillId="5" borderId="24" xfId="1" applyNumberFormat="1" applyFont="1" applyFill="1" applyBorder="1" applyAlignment="1">
      <alignment horizontal="right"/>
    </xf>
    <xf numFmtId="169" fontId="10" fillId="2" borderId="0" xfId="0" applyNumberFormat="1" applyFont="1" applyFill="1" applyAlignment="1">
      <alignment horizontal="right"/>
    </xf>
    <xf numFmtId="169" fontId="11" fillId="3" borderId="2" xfId="1" applyNumberFormat="1" applyFont="1" applyFill="1" applyBorder="1" applyAlignment="1">
      <alignment horizontal="right"/>
    </xf>
    <xf numFmtId="0" fontId="24" fillId="2" borderId="0" xfId="0" applyFont="1" applyFill="1" applyBorder="1" applyAlignment="1">
      <alignment vertical="top" wrapText="1"/>
    </xf>
    <xf numFmtId="0" fontId="24" fillId="2" borderId="32" xfId="0" applyFont="1" applyFill="1" applyBorder="1" applyAlignment="1">
      <alignment vertical="top" wrapText="1"/>
    </xf>
    <xf numFmtId="0" fontId="20" fillId="2" borderId="0" xfId="0" applyFont="1" applyFill="1" applyBorder="1"/>
    <xf numFmtId="0" fontId="24" fillId="2" borderId="38" xfId="0" applyFont="1" applyFill="1" applyBorder="1" applyAlignment="1">
      <alignment vertical="top"/>
    </xf>
    <xf numFmtId="169" fontId="10" fillId="4" borderId="12" xfId="0" applyNumberFormat="1" applyFont="1" applyFill="1" applyBorder="1" applyAlignment="1"/>
    <xf numFmtId="167" fontId="10" fillId="3" borderId="13" xfId="4" applyNumberFormat="1" applyFont="1" applyFill="1" applyBorder="1" applyAlignment="1">
      <alignment horizontal="center"/>
    </xf>
    <xf numFmtId="0" fontId="25" fillId="0" borderId="42" xfId="0" applyFont="1" applyBorder="1" applyAlignment="1">
      <alignment vertical="center" wrapText="1"/>
    </xf>
    <xf numFmtId="0" fontId="25" fillId="0" borderId="43" xfId="0" applyFont="1" applyBorder="1" applyAlignment="1">
      <alignment vertical="center" wrapText="1"/>
    </xf>
    <xf numFmtId="0" fontId="19" fillId="0" borderId="43" xfId="0" applyFont="1" applyBorder="1" applyAlignment="1">
      <alignment vertical="center" wrapText="1"/>
    </xf>
    <xf numFmtId="0" fontId="19" fillId="0" borderId="44" xfId="0" applyFont="1" applyBorder="1" applyAlignment="1">
      <alignment vertical="center" wrapText="1"/>
    </xf>
    <xf numFmtId="0" fontId="27" fillId="8" borderId="45" xfId="0" applyFont="1" applyFill="1" applyBorder="1" applyAlignment="1">
      <alignment vertical="center"/>
    </xf>
    <xf numFmtId="168" fontId="28" fillId="8" borderId="46" xfId="0" applyNumberFormat="1" applyFont="1" applyFill="1" applyBorder="1" applyAlignment="1">
      <alignment horizontal="left" vertical="center"/>
    </xf>
    <xf numFmtId="0" fontId="27" fillId="8" borderId="46" xfId="0" applyFont="1" applyFill="1" applyBorder="1" applyAlignment="1">
      <alignment vertical="center"/>
    </xf>
    <xf numFmtId="0" fontId="29" fillId="8" borderId="43" xfId="0" applyFont="1" applyFill="1" applyBorder="1" applyAlignment="1">
      <alignment vertical="center" wrapText="1"/>
    </xf>
    <xf numFmtId="0" fontId="29" fillId="8" borderId="46" xfId="0" applyFont="1" applyFill="1" applyBorder="1" applyAlignment="1">
      <alignment vertical="center" wrapText="1"/>
    </xf>
    <xf numFmtId="0" fontId="27" fillId="8" borderId="43" xfId="0" applyFont="1" applyFill="1" applyBorder="1" applyAlignment="1">
      <alignment vertical="center" wrapText="1"/>
    </xf>
    <xf numFmtId="0" fontId="29" fillId="8" borderId="46" xfId="0" applyFont="1" applyFill="1" applyBorder="1" applyAlignment="1">
      <alignment vertical="center"/>
    </xf>
    <xf numFmtId="0" fontId="27" fillId="8" borderId="46" xfId="0" applyFont="1" applyFill="1" applyBorder="1" applyAlignment="1">
      <alignment vertical="center" wrapText="1"/>
    </xf>
    <xf numFmtId="0" fontId="25" fillId="8" borderId="46" xfId="0" applyFont="1" applyFill="1" applyBorder="1" applyAlignment="1">
      <alignment vertical="center"/>
    </xf>
    <xf numFmtId="0" fontId="27" fillId="8" borderId="43" xfId="0" applyFont="1" applyFill="1" applyBorder="1" applyAlignment="1">
      <alignment horizontal="left" vertical="center" wrapText="1" indent="5"/>
    </xf>
    <xf numFmtId="0" fontId="27" fillId="8" borderId="46" xfId="0" applyFont="1" applyFill="1" applyBorder="1" applyAlignment="1">
      <alignment horizontal="left" vertical="center" wrapText="1" indent="5"/>
    </xf>
    <xf numFmtId="0" fontId="29" fillId="8" borderId="43" xfId="0" applyFont="1" applyFill="1" applyBorder="1" applyAlignment="1">
      <alignment vertical="center"/>
    </xf>
    <xf numFmtId="0" fontId="31" fillId="8" borderId="43" xfId="0" applyFont="1" applyFill="1" applyBorder="1" applyAlignment="1">
      <alignment horizontal="left" vertical="center" wrapText="1" indent="5"/>
    </xf>
    <xf numFmtId="0" fontId="31" fillId="8" borderId="46" xfId="0" applyFont="1" applyFill="1" applyBorder="1" applyAlignment="1">
      <alignment horizontal="left" vertical="center" indent="5"/>
    </xf>
    <xf numFmtId="0" fontId="0" fillId="8" borderId="43" xfId="0" applyFill="1" applyBorder="1" applyAlignment="1">
      <alignment vertical="center" wrapText="1"/>
    </xf>
    <xf numFmtId="0" fontId="31" fillId="8" borderId="46" xfId="0" applyFont="1" applyFill="1" applyBorder="1" applyAlignment="1">
      <alignment horizontal="left" vertical="center" wrapText="1" indent="5"/>
    </xf>
    <xf numFmtId="0" fontId="30" fillId="8" borderId="46" xfId="0" applyFont="1" applyFill="1" applyBorder="1" applyAlignment="1">
      <alignment vertical="center" wrapText="1"/>
    </xf>
    <xf numFmtId="0" fontId="29" fillId="8" borderId="44" xfId="0" applyFont="1" applyFill="1" applyBorder="1" applyAlignment="1">
      <alignment vertical="center"/>
    </xf>
    <xf numFmtId="165" fontId="10" fillId="4" borderId="12" xfId="1" applyNumberFormat="1" applyFont="1" applyFill="1" applyBorder="1" applyAlignment="1">
      <alignment horizontal="center"/>
    </xf>
    <xf numFmtId="0" fontId="1" fillId="4" borderId="20" xfId="0" applyFont="1" applyFill="1" applyBorder="1" applyAlignment="1">
      <alignment horizontal="left"/>
    </xf>
    <xf numFmtId="0" fontId="1" fillId="4" borderId="14" xfId="0" applyFont="1" applyFill="1" applyBorder="1" applyAlignment="1">
      <alignment horizontal="left"/>
    </xf>
    <xf numFmtId="0" fontId="1" fillId="4" borderId="14" xfId="0" applyFont="1" applyFill="1" applyBorder="1" applyAlignment="1">
      <alignment horizontal="left" wrapText="1"/>
    </xf>
    <xf numFmtId="0" fontId="10" fillId="4" borderId="14" xfId="0" applyFont="1" applyFill="1" applyBorder="1" applyAlignment="1">
      <alignment horizontal="left"/>
    </xf>
    <xf numFmtId="0" fontId="10" fillId="4" borderId="47" xfId="0" applyFont="1" applyFill="1" applyBorder="1" applyAlignment="1">
      <alignment horizontal="center"/>
    </xf>
    <xf numFmtId="0" fontId="10" fillId="4" borderId="48" xfId="0" applyFont="1" applyFill="1" applyBorder="1" applyAlignment="1">
      <alignment horizontal="center"/>
    </xf>
    <xf numFmtId="0" fontId="10" fillId="4" borderId="21" xfId="0" applyFont="1" applyFill="1" applyBorder="1" applyAlignment="1">
      <alignment horizontal="center"/>
    </xf>
    <xf numFmtId="0" fontId="3" fillId="2" borderId="32" xfId="0" applyFont="1" applyFill="1" applyBorder="1" applyAlignment="1">
      <alignment horizontal="right"/>
    </xf>
    <xf numFmtId="3" fontId="10" fillId="2" borderId="0" xfId="0" applyNumberFormat="1" applyFont="1" applyFill="1"/>
    <xf numFmtId="165" fontId="11" fillId="2" borderId="0" xfId="0" applyNumberFormat="1" applyFont="1" applyFill="1" applyAlignment="1">
      <alignment horizontal="right"/>
    </xf>
    <xf numFmtId="43" fontId="11" fillId="2" borderId="0" xfId="0" applyNumberFormat="1" applyFont="1" applyFill="1" applyAlignment="1">
      <alignment horizontal="right"/>
    </xf>
    <xf numFmtId="0" fontId="10" fillId="2" borderId="0" xfId="0" quotePrefix="1" applyFont="1" applyFill="1" applyAlignment="1">
      <alignment horizontal="center"/>
    </xf>
    <xf numFmtId="0" fontId="14" fillId="5" borderId="12" xfId="0" applyFont="1" applyFill="1" applyBorder="1"/>
    <xf numFmtId="0" fontId="11" fillId="2" borderId="31" xfId="0" applyFont="1" applyFill="1" applyBorder="1" applyAlignment="1"/>
    <xf numFmtId="0" fontId="11" fillId="2" borderId="40" xfId="0" applyFont="1" applyFill="1" applyBorder="1" applyAlignment="1">
      <alignment horizontal="center"/>
    </xf>
    <xf numFmtId="0" fontId="11" fillId="2" borderId="32" xfId="0" applyFont="1" applyFill="1" applyBorder="1" applyAlignment="1">
      <alignment horizontal="center"/>
    </xf>
    <xf numFmtId="0" fontId="10" fillId="2" borderId="0" xfId="0" applyFont="1" applyFill="1" applyBorder="1" applyAlignment="1">
      <alignment horizontal="right" wrapText="1"/>
    </xf>
    <xf numFmtId="0" fontId="10" fillId="2" borderId="37" xfId="0" applyFont="1" applyFill="1" applyBorder="1" applyAlignment="1">
      <alignment horizontal="right" wrapText="1"/>
    </xf>
    <xf numFmtId="0" fontId="11" fillId="4" borderId="20" xfId="0" applyFont="1" applyFill="1" applyBorder="1" applyAlignment="1">
      <alignment horizontal="left"/>
    </xf>
    <xf numFmtId="0" fontId="11" fillId="4" borderId="20" xfId="0" applyFont="1" applyFill="1" applyBorder="1" applyAlignment="1"/>
    <xf numFmtId="49" fontId="12" fillId="4" borderId="14" xfId="0" applyNumberFormat="1" applyFont="1" applyFill="1" applyBorder="1" applyAlignment="1">
      <alignment horizontal="left"/>
    </xf>
    <xf numFmtId="0" fontId="10" fillId="4" borderId="14" xfId="0" applyFont="1" applyFill="1" applyBorder="1" applyAlignment="1">
      <alignment horizontal="left"/>
    </xf>
    <xf numFmtId="0" fontId="10" fillId="4" borderId="14" xfId="0" applyFont="1" applyFill="1" applyBorder="1" applyAlignment="1"/>
    <xf numFmtId="0" fontId="9" fillId="4" borderId="15" xfId="3" applyFill="1" applyBorder="1" applyAlignment="1" applyProtection="1">
      <alignment horizontal="left"/>
    </xf>
    <xf numFmtId="0" fontId="10" fillId="4" borderId="15" xfId="0" applyFont="1" applyFill="1" applyBorder="1" applyAlignment="1"/>
    <xf numFmtId="0" fontId="11" fillId="3" borderId="19" xfId="0" applyFont="1" applyFill="1" applyBorder="1" applyAlignment="1">
      <alignment horizontal="center"/>
    </xf>
    <xf numFmtId="0" fontId="11" fillId="2" borderId="0" xfId="0" applyFont="1" applyFill="1" applyBorder="1" applyAlignment="1">
      <alignment vertical="top" wrapText="1"/>
    </xf>
    <xf numFmtId="0" fontId="10" fillId="2" borderId="0" xfId="0" applyFont="1" applyFill="1" applyBorder="1" applyAlignment="1">
      <alignment vertical="top" wrapText="1"/>
    </xf>
    <xf numFmtId="0" fontId="10" fillId="2" borderId="31" xfId="0" applyFont="1" applyFill="1" applyBorder="1" applyAlignment="1"/>
    <xf numFmtId="0" fontId="10" fillId="2" borderId="0" xfId="0"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1" fillId="3" borderId="10" xfId="0" applyFont="1" applyFill="1" applyBorder="1" applyAlignment="1">
      <alignment horizontal="center"/>
    </xf>
    <xf numFmtId="0" fontId="10" fillId="0" borderId="1" xfId="0" applyFont="1" applyBorder="1" applyAlignment="1"/>
    <xf numFmtId="0" fontId="10" fillId="0" borderId="17" xfId="0" applyFont="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2" fillId="2" borderId="0" xfId="0" applyFont="1" applyFill="1" applyAlignment="1">
      <alignment horizontal="left" vertical="center" wrapText="1"/>
    </xf>
    <xf numFmtId="0" fontId="18" fillId="2" borderId="0" xfId="0" applyFont="1" applyFill="1" applyAlignment="1">
      <alignment horizontal="left" vertical="center" wrapText="1"/>
    </xf>
    <xf numFmtId="0" fontId="0" fillId="2" borderId="0" xfId="0" applyFill="1" applyAlignment="1">
      <alignment wrapText="1"/>
    </xf>
    <xf numFmtId="0" fontId="3" fillId="2" borderId="32" xfId="0" applyFont="1" applyFill="1" applyBorder="1" applyAlignment="1">
      <alignment horizontal="left"/>
    </xf>
    <xf numFmtId="0" fontId="11" fillId="0" borderId="35" xfId="0" applyFont="1" applyBorder="1" applyAlignment="1">
      <alignment horizontal="center" wrapText="1"/>
    </xf>
    <xf numFmtId="0" fontId="11" fillId="0" borderId="7" xfId="0" applyFont="1" applyBorder="1" applyAlignment="1">
      <alignment horizontal="center" wrapText="1"/>
    </xf>
    <xf numFmtId="0" fontId="11" fillId="0" borderId="36" xfId="0" applyFont="1" applyBorder="1" applyAlignment="1">
      <alignment horizontal="center" wrapText="1"/>
    </xf>
    <xf numFmtId="0" fontId="11" fillId="2" borderId="35" xfId="0" applyFont="1" applyFill="1" applyBorder="1" applyAlignment="1">
      <alignment horizontal="center"/>
    </xf>
    <xf numFmtId="0" fontId="11" fillId="2" borderId="7" xfId="0" applyFont="1" applyFill="1" applyBorder="1" applyAlignment="1">
      <alignment horizontal="center"/>
    </xf>
    <xf numFmtId="0" fontId="11" fillId="2" borderId="36" xfId="0" applyFont="1" applyFill="1" applyBorder="1" applyAlignment="1">
      <alignment horizontal="center"/>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9525</xdr:colOff>
      <xdr:row>33</xdr:row>
      <xdr:rowOff>31751</xdr:rowOff>
    </xdr:from>
    <xdr:to>
      <xdr:col>9</xdr:col>
      <xdr:colOff>638175</xdr:colOff>
      <xdr:row>44</xdr:row>
      <xdr:rowOff>152401</xdr:rowOff>
    </xdr:to>
    <xdr:sp macro="" textlink="">
      <xdr:nvSpPr>
        <xdr:cNvPr id="2" name="TextBox 1"/>
        <xdr:cNvSpPr txBox="1"/>
      </xdr:nvSpPr>
      <xdr:spPr>
        <a:xfrm>
          <a:off x="190500" y="7404101"/>
          <a:ext cx="8296275" cy="221615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latin typeface="+mn-lt"/>
              <a:ea typeface="+mn-ea"/>
              <a:cs typeface="+mn-cs"/>
            </a:rPr>
            <a:t>In 2013 the District received clarification and direction from the Washington State Auditor's Office that  the SAO cannot audit against the 5th Power Plan.  The District revised its 2012-2021 conservation  potential and 2012-2013 biennial target based on the  June 2011 Conservation Potential Assessment.  Public notice and meeting were held on May 28, 2013 and  Commission resolution was passed revising the 10 year 2012-2021 Conservation Potential and 2012-2013 Biennial Target as shown above in the Planning section of this report.</a:t>
          </a:r>
          <a:endParaRPr lang="en-US"/>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For the 2014-2023 </a:t>
          </a:r>
          <a:r>
            <a:rPr lang="en-US" sz="1100" baseline="0">
              <a:solidFill>
                <a:schemeClr val="dk1"/>
              </a:solidFill>
              <a:latin typeface="+mn-lt"/>
              <a:ea typeface="+mn-ea"/>
              <a:cs typeface="+mn-cs"/>
            </a:rPr>
            <a:t>Ten Year Potential and the 2014-2015 Biennial Target </a:t>
          </a:r>
          <a:r>
            <a:rPr lang="en-US" sz="1100">
              <a:solidFill>
                <a:schemeClr val="dk1"/>
              </a:solidFill>
              <a:latin typeface="+mn-lt"/>
              <a:ea typeface="+mn-ea"/>
              <a:cs typeface="+mn-cs"/>
            </a:rPr>
            <a:t> Benton PUD elected to use the Utility Analysis option which was based on the NWPCC’s 6</a:t>
          </a:r>
          <a:r>
            <a:rPr lang="en-US" sz="1100" baseline="30000">
              <a:solidFill>
                <a:schemeClr val="dk1"/>
              </a:solidFill>
              <a:latin typeface="+mn-lt"/>
              <a:ea typeface="+mn-ea"/>
              <a:cs typeface="+mn-cs"/>
            </a:rPr>
            <a:t>th</a:t>
          </a:r>
          <a:r>
            <a:rPr lang="en-US" sz="1100">
              <a:solidFill>
                <a:schemeClr val="dk1"/>
              </a:solidFill>
              <a:latin typeface="+mn-lt"/>
              <a:ea typeface="+mn-ea"/>
              <a:cs typeface="+mn-cs"/>
            </a:rPr>
            <a:t> Power Plan measures.   A Conservation Potential Assessment was completed </a:t>
          </a:r>
          <a:r>
            <a:rPr lang="en-US" sz="1100" baseline="0">
              <a:solidFill>
                <a:schemeClr val="dk1"/>
              </a:solidFill>
              <a:latin typeface="+mn-lt"/>
              <a:ea typeface="+mn-ea"/>
              <a:cs typeface="+mn-cs"/>
            </a:rPr>
            <a:t> in October 2013 and the </a:t>
          </a:r>
          <a:r>
            <a:rPr lang="en-US" sz="1100">
              <a:solidFill>
                <a:schemeClr val="dk1"/>
              </a:solidFill>
              <a:latin typeface="+mn-lt"/>
              <a:ea typeface="+mn-ea"/>
              <a:cs typeface="+mn-cs"/>
            </a:rPr>
            <a:t>the 2014-2023 </a:t>
          </a:r>
          <a:r>
            <a:rPr lang="en-US" sz="1100" baseline="0">
              <a:solidFill>
                <a:schemeClr val="dk1"/>
              </a:solidFill>
              <a:latin typeface="+mn-lt"/>
              <a:ea typeface="+mn-ea"/>
              <a:cs typeface="+mn-cs"/>
            </a:rPr>
            <a:t>Ten Year Potential and the 2014-2015 Biennial Target </a:t>
          </a:r>
          <a:r>
            <a:rPr lang="en-US" sz="1100">
              <a:solidFill>
                <a:schemeClr val="dk1"/>
              </a:solidFill>
              <a:latin typeface="+mn-lt"/>
              <a:ea typeface="+mn-ea"/>
              <a:cs typeface="+mn-cs"/>
            </a:rPr>
            <a:t>were</a:t>
          </a:r>
          <a:r>
            <a:rPr lang="en-US" sz="1100" baseline="0">
              <a:solidFill>
                <a:schemeClr val="dk1"/>
              </a:solidFill>
              <a:latin typeface="+mn-lt"/>
              <a:ea typeface="+mn-ea"/>
              <a:cs typeface="+mn-cs"/>
            </a:rPr>
            <a:t> adopted by Commission resolution  no. 2245.</a:t>
          </a:r>
          <a:endParaRPr lang="en-US" sz="1100">
            <a:solidFill>
              <a:schemeClr val="dk1"/>
            </a:solidFill>
            <a:latin typeface="+mn-lt"/>
            <a:ea typeface="+mn-ea"/>
            <a:cs typeface="+mn-cs"/>
          </a:endParaRPr>
        </a:p>
        <a:p>
          <a:endParaRPr lang="en-US" sz="1100"/>
        </a:p>
      </xdr:txBody>
    </xdr:sp>
    <xdr:clientData/>
  </xdr:twoCellAnchor>
  <xdr:twoCellAnchor>
    <xdr:from>
      <xdr:col>1</xdr:col>
      <xdr:colOff>0</xdr:colOff>
      <xdr:row>46</xdr:row>
      <xdr:rowOff>1</xdr:rowOff>
    </xdr:from>
    <xdr:to>
      <xdr:col>9</xdr:col>
      <xdr:colOff>638175</xdr:colOff>
      <xdr:row>65</xdr:row>
      <xdr:rowOff>85726</xdr:rowOff>
    </xdr:to>
    <xdr:sp macro="" textlink="">
      <xdr:nvSpPr>
        <xdr:cNvPr id="3" name="TextBox 2"/>
        <xdr:cNvSpPr txBox="1"/>
      </xdr:nvSpPr>
      <xdr:spPr>
        <a:xfrm>
          <a:off x="180975" y="9820276"/>
          <a:ext cx="8305800" cy="316230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aseline="0"/>
        </a:p>
        <a:p>
          <a:endParaRPr lang="en-US" sz="1100" baseline="0"/>
        </a:p>
      </xdr:txBody>
    </xdr:sp>
    <xdr:clientData/>
  </xdr:twoCellAnchor>
  <xdr:twoCellAnchor>
    <xdr:from>
      <xdr:col>8</xdr:col>
      <xdr:colOff>247650</xdr:colOff>
      <xdr:row>15</xdr:row>
      <xdr:rowOff>361950</xdr:rowOff>
    </xdr:from>
    <xdr:to>
      <xdr:col>9</xdr:col>
      <xdr:colOff>552450</xdr:colOff>
      <xdr:row>22</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101</xdr:row>
      <xdr:rowOff>0</xdr:rowOff>
    </xdr:from>
    <xdr:to>
      <xdr:col>14</xdr:col>
      <xdr:colOff>609599</xdr:colOff>
      <xdr:row>113</xdr:row>
      <xdr:rowOff>152400</xdr:rowOff>
    </xdr:to>
    <xdr:sp macro="" textlink="">
      <xdr:nvSpPr>
        <xdr:cNvPr id="2" name="TextBox 1"/>
        <xdr:cNvSpPr txBox="1"/>
      </xdr:nvSpPr>
      <xdr:spPr>
        <a:xfrm>
          <a:off x="180974" y="20335875"/>
          <a:ext cx="11134725" cy="22098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latin typeface="+mn-lt"/>
              <a:ea typeface="+mn-ea"/>
              <a:cs typeface="+mn-cs"/>
            </a:rPr>
            <a:t>(1)  Annual  Retail Revenue Requirements shown</a:t>
          </a:r>
          <a:r>
            <a:rPr lang="en-US" sz="1100" baseline="0">
              <a:solidFill>
                <a:schemeClr val="dk1"/>
              </a:solidFill>
              <a:latin typeface="+mn-lt"/>
              <a:ea typeface="+mn-ea"/>
              <a:cs typeface="+mn-cs"/>
            </a:rPr>
            <a:t> is 2014 Projected Retail Revenue.</a:t>
          </a:r>
          <a:endParaRPr lang="en-US"/>
        </a:p>
        <a:p>
          <a:endParaRPr lang="en-US"/>
        </a:p>
      </xdr:txBody>
    </xdr:sp>
    <xdr:clientData/>
  </xdr:twoCellAnchor>
  <xdr:twoCellAnchor>
    <xdr:from>
      <xdr:col>0</xdr:col>
      <xdr:colOff>161925</xdr:colOff>
      <xdr:row>116</xdr:row>
      <xdr:rowOff>123825</xdr:rowOff>
    </xdr:from>
    <xdr:to>
      <xdr:col>14</xdr:col>
      <xdr:colOff>647701</xdr:colOff>
      <xdr:row>136</xdr:row>
      <xdr:rowOff>38100</xdr:rowOff>
    </xdr:to>
    <xdr:sp macro="" textlink="">
      <xdr:nvSpPr>
        <xdr:cNvPr id="3" name="TextBox 2"/>
        <xdr:cNvSpPr txBox="1"/>
      </xdr:nvSpPr>
      <xdr:spPr>
        <a:xfrm>
          <a:off x="161925" y="23002875"/>
          <a:ext cx="11191876" cy="234315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latin typeface="+mn-lt"/>
              <a:ea typeface="+mn-ea"/>
              <a:cs typeface="+mn-cs"/>
            </a:rPr>
            <a:t>(2)  Estimated Incremental Expenditures on Eligible Renewable Resources use the Permanent One-Time Methodology provided by WAC 194-37-160(2); however, the PUD has not selected this methodology and is not required to select one of the two methodologies provided until January 1 of the first target year that it fulfills its renewable energy requirements under RCW 19.285.050.</a:t>
          </a:r>
          <a:endParaRPr lang="en-US" sz="1100">
            <a:solidFill>
              <a:schemeClr val="dk1"/>
            </a:solidFill>
            <a:latin typeface="+mn-lt"/>
            <a:ea typeface="+mn-ea"/>
            <a:cs typeface="+mn-cs"/>
          </a:endParaRPr>
        </a:p>
        <a:p>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2014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2014 for the purpose of meeting its Energy Independence Act (EIA) renewables target for 2014. The actual resources and RECs used to comply with the 2014 EIA target may vary from those reported here. Utilities will report in June of 2016 on the actual results for 2014.</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2014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2014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19050</xdr:colOff>
          <xdr:row>8</xdr:row>
          <xdr:rowOff>9525</xdr:rowOff>
        </xdr:from>
        <xdr:to>
          <xdr:col>4</xdr:col>
          <xdr:colOff>571500</xdr:colOff>
          <xdr:row>9</xdr:row>
          <xdr:rowOff>19050</xdr:rowOff>
        </xdr:to>
        <xdr:sp macro="" textlink="">
          <xdr:nvSpPr>
            <xdr:cNvPr id="5448" name="Check Box 328" hidden="1">
              <a:extLst>
                <a:ext uri="{63B3BB69-23CF-44E3-9099-C40C66FF867C}">
                  <a14:compatExt spid="_x0000_s54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9</xdr:row>
          <xdr:rowOff>28575</xdr:rowOff>
        </xdr:from>
        <xdr:to>
          <xdr:col>5</xdr:col>
          <xdr:colOff>0</xdr:colOff>
          <xdr:row>10</xdr:row>
          <xdr:rowOff>28575</xdr:rowOff>
        </xdr:to>
        <xdr:sp macro="" textlink="">
          <xdr:nvSpPr>
            <xdr:cNvPr id="5449" name="Check Box 329" hidden="1">
              <a:extLst>
                <a:ext uri="{63B3BB69-23CF-44E3-9099-C40C66FF867C}">
                  <a14:compatExt spid="_x0000_s54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10</xdr:row>
          <xdr:rowOff>66675</xdr:rowOff>
        </xdr:from>
        <xdr:to>
          <xdr:col>5</xdr:col>
          <xdr:colOff>114300</xdr:colOff>
          <xdr:row>11</xdr:row>
          <xdr:rowOff>9525</xdr:rowOff>
        </xdr:to>
        <xdr:sp macro="" textlink="">
          <xdr:nvSpPr>
            <xdr:cNvPr id="5450" name="Check Box 330" hidden="1">
              <a:extLst>
                <a:ext uri="{63B3BB69-23CF-44E3-9099-C40C66FF867C}">
                  <a14:compatExt spid="_x0000_s54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lennbl\AppData\Local\Microsoft\Windows\Temporary%20Internet%20Files\Content.Outlook\9Z8AXIKT\EIA_2014%20ReportWorkbook_DRAFT%203-27-20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urraym\AppData\Local\Hewlett-Packard\HP%20TRIM\TEMP\HPTRIM.4044\CRC%20Budget%20&amp;%20kWh%20tracking_savings%20for%202006%20through%202009_(Self%20Funding-%202012-13%20BPA%20Tru-u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row r="29">
          <cell r="D29">
            <v>0</v>
          </cell>
          <cell r="G29">
            <v>0</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BPUD Budget Tracking"/>
      <sheetName val="2010 -11 BPUD Budget Tracking"/>
      <sheetName val="Calendar YR Planner"/>
      <sheetName val="BPA_BPUD"/>
      <sheetName val="CRC CalYr 2006"/>
      <sheetName val="CRC FY 2006"/>
      <sheetName val="CRC CalYr 2007"/>
      <sheetName val="CRC CalYr 2008 "/>
      <sheetName val="CRC FY 2009"/>
      <sheetName val="CalYr 2009"/>
      <sheetName val="CRC FY 2007"/>
      <sheetName val="Self Funding CalYr 2008"/>
      <sheetName val="CRC FY 2008"/>
      <sheetName val="CHWM"/>
      <sheetName val="CRC FY 2010"/>
      <sheetName val="CPP Tracking"/>
      <sheetName val="Deemed Tracking"/>
      <sheetName val="Sheet6"/>
      <sheetName val="Sheet2"/>
      <sheetName val="Irrigaton Pmts"/>
      <sheetName val="Sheet3"/>
      <sheetName val="BPA Budget 2011 "/>
      <sheetName val="Sheet5"/>
      <sheetName val="2011 PUD Budget"/>
      <sheetName val="BPUD Budget 2011"/>
      <sheetName val="Prop. Budget 2012-13 - CPA"/>
      <sheetName val="BPUD Proposed Bud 2012-13 (2)"/>
      <sheetName val="Sheet7"/>
      <sheetName val="PTR Rep. Jan - Dec. 2010"/>
      <sheetName val="PTR Rep. Jan - Dec. 2011"/>
      <sheetName val="PTR Rep. Oct. 2010 - March 2011"/>
      <sheetName val="PTR Rep. Apr. - Sept. 2010"/>
      <sheetName val="PTR Rep Oct. 2009 - March 2010"/>
      <sheetName val="PTR ECA Rep.  Sept. 2011"/>
      <sheetName val="PTR ECA Rep  May - Aug. 2011"/>
      <sheetName val="SIS Actuals 2011"/>
      <sheetName val="PTR Rep. Apr. - Sept. 2011"/>
      <sheetName val="PTR Rep. OUF Sept 2011"/>
      <sheetName val="Sheet1"/>
      <sheetName val="2013 Conservaton Budget"/>
      <sheetName val="2014 -2017 Budget"/>
      <sheetName val="NWPCC Report FY11-14"/>
      <sheetName val="2012 - 13 BPUD Budget Tracking"/>
      <sheetName val="Budget 2014-15 - 5th Plan"/>
      <sheetName val="SIS Projected 2012-13"/>
      <sheetName val="BPA Budget FY 2012 - 2013"/>
      <sheetName val="Prop. Budget 2013-14 5th Plan"/>
      <sheetName val="2014-15 Budget-Sav"/>
      <sheetName val="Prop. Budget 2014-15"/>
      <sheetName val="Budget for 6th Power Plan"/>
      <sheetName val="BPUD 2013 Budget"/>
      <sheetName val="EEI FY 2013"/>
      <sheetName val="CRC FY 2011"/>
      <sheetName val="EEI FY 2012"/>
      <sheetName val="CalYr 2010"/>
      <sheetName val="CalYr 2011"/>
      <sheetName val="CalYr 2012"/>
      <sheetName val="Prop.  Budget 2012-13 -5th Plan"/>
      <sheetName val="CalYr 2013"/>
      <sheetName val="BPA Invoices "/>
      <sheetName val="Prop. Budget 2012-2013 - CPA"/>
      <sheetName val="BPUD 2012 Budget"/>
      <sheetName val="NEEA Savings"/>
      <sheetName val="Prop. Budget 2014-2015 - CPA"/>
      <sheetName val="Sheet4"/>
      <sheetName val="CPA Costs"/>
      <sheetName val="Modified Budget 2014-2015 - CPA"/>
      <sheetName val="Sheet9"/>
      <sheetName val="Sheet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ow r="488">
          <cell r="B488" t="str">
            <v>Commercial (PECI - Grocery Store Program)</v>
          </cell>
        </row>
        <row r="489">
          <cell r="B489" t="str">
            <v>Commercial (Green Motor Program)</v>
          </cell>
        </row>
      </sheetData>
      <sheetData sheetId="59"/>
      <sheetData sheetId="60"/>
      <sheetData sheetId="61"/>
      <sheetData sheetId="62"/>
      <sheetData sheetId="63"/>
      <sheetData sheetId="64"/>
      <sheetData sheetId="65"/>
      <sheetData sheetId="66"/>
      <sheetData sheetId="67"/>
      <sheetData sheetId="6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murraym@bentonpud.org"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murraym@bentonpud.org"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A66"/>
  <sheetViews>
    <sheetView topLeftCell="A52" workbookViewId="0">
      <selection activeCell="C3" sqref="C3:E3"/>
    </sheetView>
  </sheetViews>
  <sheetFormatPr defaultRowHeight="15" x14ac:dyDescent="0.25"/>
  <cols>
    <col min="1" max="1" width="135.140625" customWidth="1"/>
  </cols>
  <sheetData>
    <row r="1" spans="1:1" ht="18.75" x14ac:dyDescent="0.25">
      <c r="A1" s="125" t="s">
        <v>177</v>
      </c>
    </row>
    <row r="2" spans="1:1" x14ac:dyDescent="0.25">
      <c r="A2" s="126">
        <v>41729</v>
      </c>
    </row>
    <row r="3" spans="1:1" x14ac:dyDescent="0.25">
      <c r="A3" s="127"/>
    </row>
    <row r="4" spans="1:1" x14ac:dyDescent="0.25">
      <c r="A4" s="128" t="s">
        <v>178</v>
      </c>
    </row>
    <row r="5" spans="1:1" x14ac:dyDescent="0.25">
      <c r="A5" s="128" t="s">
        <v>179</v>
      </c>
    </row>
    <row r="6" spans="1:1" x14ac:dyDescent="0.25">
      <c r="A6" s="129" t="s">
        <v>180</v>
      </c>
    </row>
    <row r="7" spans="1:1" x14ac:dyDescent="0.25">
      <c r="A7" s="127"/>
    </row>
    <row r="8" spans="1:1" ht="28.5" x14ac:dyDescent="0.25">
      <c r="A8" s="130" t="s">
        <v>181</v>
      </c>
    </row>
    <row r="9" spans="1:1" ht="28.5" x14ac:dyDescent="0.25">
      <c r="A9" s="130" t="s">
        <v>182</v>
      </c>
    </row>
    <row r="10" spans="1:1" x14ac:dyDescent="0.25">
      <c r="A10" s="130"/>
    </row>
    <row r="11" spans="1:1" x14ac:dyDescent="0.25">
      <c r="A11" s="131" t="s">
        <v>183</v>
      </c>
    </row>
    <row r="12" spans="1:1" x14ac:dyDescent="0.25">
      <c r="A12" s="127"/>
    </row>
    <row r="13" spans="1:1" ht="72.75" x14ac:dyDescent="0.25">
      <c r="A13" s="132" t="s">
        <v>184</v>
      </c>
    </row>
    <row r="14" spans="1:1" x14ac:dyDescent="0.25">
      <c r="A14" s="127"/>
    </row>
    <row r="15" spans="1:1" ht="29.25" x14ac:dyDescent="0.25">
      <c r="A15" s="129" t="s">
        <v>185</v>
      </c>
    </row>
    <row r="16" spans="1:1" x14ac:dyDescent="0.25">
      <c r="A16" s="132"/>
    </row>
    <row r="17" spans="1:1" x14ac:dyDescent="0.25">
      <c r="A17" s="127"/>
    </row>
    <row r="18" spans="1:1" ht="18.75" x14ac:dyDescent="0.25">
      <c r="A18" s="133" t="s">
        <v>186</v>
      </c>
    </row>
    <row r="19" spans="1:1" x14ac:dyDescent="0.25">
      <c r="A19" s="128" t="s">
        <v>187</v>
      </c>
    </row>
    <row r="20" spans="1:1" ht="28.5" x14ac:dyDescent="0.25">
      <c r="A20" s="134" t="s">
        <v>188</v>
      </c>
    </row>
    <row r="21" spans="1:1" x14ac:dyDescent="0.25">
      <c r="A21" s="135" t="s">
        <v>189</v>
      </c>
    </row>
    <row r="22" spans="1:1" x14ac:dyDescent="0.25">
      <c r="A22" s="127"/>
    </row>
    <row r="23" spans="1:1" x14ac:dyDescent="0.25">
      <c r="A23" s="136" t="s">
        <v>190</v>
      </c>
    </row>
    <row r="24" spans="1:1" ht="29.25" x14ac:dyDescent="0.25">
      <c r="A24" s="137" t="s">
        <v>191</v>
      </c>
    </row>
    <row r="25" spans="1:1" x14ac:dyDescent="0.25">
      <c r="A25" s="138" t="s">
        <v>192</v>
      </c>
    </row>
    <row r="26" spans="1:1" x14ac:dyDescent="0.25">
      <c r="A26" s="127"/>
    </row>
    <row r="27" spans="1:1" ht="43.5" x14ac:dyDescent="0.25">
      <c r="A27" s="128" t="s">
        <v>193</v>
      </c>
    </row>
    <row r="28" spans="1:1" x14ac:dyDescent="0.25">
      <c r="A28" s="139"/>
    </row>
    <row r="29" spans="1:1" ht="42.75" x14ac:dyDescent="0.25">
      <c r="A29" s="132" t="s">
        <v>194</v>
      </c>
    </row>
    <row r="30" spans="1:1" x14ac:dyDescent="0.25">
      <c r="A30" s="127"/>
    </row>
    <row r="31" spans="1:1" ht="43.5" x14ac:dyDescent="0.25">
      <c r="A31" s="129" t="s">
        <v>195</v>
      </c>
    </row>
    <row r="32" spans="1:1" x14ac:dyDescent="0.25">
      <c r="A32" s="127"/>
    </row>
    <row r="33" spans="1:1" ht="57.75" x14ac:dyDescent="0.25">
      <c r="A33" s="128" t="s">
        <v>196</v>
      </c>
    </row>
    <row r="34" spans="1:1" x14ac:dyDescent="0.25">
      <c r="A34" s="130"/>
    </row>
    <row r="35" spans="1:1" ht="28.5" x14ac:dyDescent="0.25">
      <c r="A35" s="130" t="s">
        <v>197</v>
      </c>
    </row>
    <row r="36" spans="1:1" x14ac:dyDescent="0.25">
      <c r="A36" s="137" t="s">
        <v>198</v>
      </c>
    </row>
    <row r="37" spans="1:1" x14ac:dyDescent="0.25">
      <c r="A37" s="137" t="s">
        <v>199</v>
      </c>
    </row>
    <row r="38" spans="1:1" x14ac:dyDescent="0.25">
      <c r="A38" s="140" t="s">
        <v>200</v>
      </c>
    </row>
    <row r="39" spans="1:1" x14ac:dyDescent="0.25">
      <c r="A39" s="127"/>
    </row>
    <row r="40" spans="1:1" ht="29.25" x14ac:dyDescent="0.25">
      <c r="A40" s="129" t="s">
        <v>201</v>
      </c>
    </row>
    <row r="41" spans="1:1" x14ac:dyDescent="0.25">
      <c r="A41" s="127"/>
    </row>
    <row r="42" spans="1:1" ht="18.75" x14ac:dyDescent="0.25">
      <c r="A42" s="133" t="s">
        <v>202</v>
      </c>
    </row>
    <row r="43" spans="1:1" ht="42.75" x14ac:dyDescent="0.25">
      <c r="A43" s="132" t="s">
        <v>203</v>
      </c>
    </row>
    <row r="44" spans="1:1" x14ac:dyDescent="0.25">
      <c r="A44" s="127"/>
    </row>
    <row r="45" spans="1:1" ht="43.5" x14ac:dyDescent="0.25">
      <c r="A45" s="129" t="s">
        <v>204</v>
      </c>
    </row>
    <row r="46" spans="1:1" x14ac:dyDescent="0.25">
      <c r="A46" s="127"/>
    </row>
    <row r="47" spans="1:1" ht="43.5" x14ac:dyDescent="0.25">
      <c r="A47" s="129" t="s">
        <v>205</v>
      </c>
    </row>
    <row r="48" spans="1:1" x14ac:dyDescent="0.25">
      <c r="A48" s="127"/>
    </row>
    <row r="49" spans="1:1" ht="43.5" x14ac:dyDescent="0.25">
      <c r="A49" s="129" t="s">
        <v>206</v>
      </c>
    </row>
    <row r="50" spans="1:1" x14ac:dyDescent="0.25">
      <c r="A50" s="127"/>
    </row>
    <row r="51" spans="1:1" x14ac:dyDescent="0.25">
      <c r="A51" s="128" t="s">
        <v>207</v>
      </c>
    </row>
    <row r="52" spans="1:1" ht="42.75" x14ac:dyDescent="0.25">
      <c r="A52" s="132" t="s">
        <v>208</v>
      </c>
    </row>
    <row r="53" spans="1:1" x14ac:dyDescent="0.25">
      <c r="A53" s="127"/>
    </row>
    <row r="54" spans="1:1" ht="57.75" x14ac:dyDescent="0.25">
      <c r="A54" s="141" t="s">
        <v>209</v>
      </c>
    </row>
    <row r="55" spans="1:1" x14ac:dyDescent="0.25">
      <c r="A55" s="127"/>
    </row>
    <row r="56" spans="1:1" ht="72" x14ac:dyDescent="0.25">
      <c r="A56" s="129" t="s">
        <v>210</v>
      </c>
    </row>
    <row r="57" spans="1:1" x14ac:dyDescent="0.25">
      <c r="A57" s="127"/>
    </row>
    <row r="58" spans="1:1" ht="57.75" x14ac:dyDescent="0.25">
      <c r="A58" s="129" t="s">
        <v>211</v>
      </c>
    </row>
    <row r="59" spans="1:1" x14ac:dyDescent="0.25">
      <c r="A59" s="127"/>
    </row>
    <row r="60" spans="1:1" x14ac:dyDescent="0.25">
      <c r="A60" s="128" t="s">
        <v>212</v>
      </c>
    </row>
    <row r="61" spans="1:1" ht="42.75" x14ac:dyDescent="0.25">
      <c r="A61" s="132" t="s">
        <v>213</v>
      </c>
    </row>
    <row r="62" spans="1:1" x14ac:dyDescent="0.25">
      <c r="A62" s="127"/>
    </row>
    <row r="63" spans="1:1" x14ac:dyDescent="0.25">
      <c r="A63" s="128" t="s">
        <v>214</v>
      </c>
    </row>
    <row r="64" spans="1:1" ht="42.75" x14ac:dyDescent="0.25">
      <c r="A64" s="132" t="s">
        <v>215</v>
      </c>
    </row>
    <row r="65" spans="1:1" x14ac:dyDescent="0.25">
      <c r="A65" s="127"/>
    </row>
    <row r="66" spans="1:1" ht="15.75" thickBot="1" x14ac:dyDescent="0.3">
      <c r="A66" s="142" t="s">
        <v>216</v>
      </c>
    </row>
  </sheetData>
  <pageMargins left="0.7" right="0.7" top="0.75" bottom="0.75" header="0.3" footer="0.3"/>
  <pageSetup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5"/>
  <sheetViews>
    <sheetView workbookViewId="0">
      <selection activeCell="C3" sqref="C3:E3"/>
    </sheetView>
  </sheetViews>
  <sheetFormatPr defaultRowHeight="15" x14ac:dyDescent="0.25"/>
  <cols>
    <col min="1" max="1" width="107" customWidth="1"/>
  </cols>
  <sheetData>
    <row r="1" spans="1:1" ht="18.75" x14ac:dyDescent="0.25">
      <c r="A1" s="121" t="s">
        <v>175</v>
      </c>
    </row>
    <row r="2" spans="1:1" ht="18.75" x14ac:dyDescent="0.25">
      <c r="A2" s="122"/>
    </row>
    <row r="3" spans="1:1" ht="57" x14ac:dyDescent="0.25">
      <c r="A3" s="123" t="s">
        <v>217</v>
      </c>
    </row>
    <row r="4" spans="1:1" x14ac:dyDescent="0.25">
      <c r="A4" s="123"/>
    </row>
    <row r="5" spans="1:1" ht="29.25" thickBot="1" x14ac:dyDescent="0.3">
      <c r="A5" s="124" t="s">
        <v>176</v>
      </c>
    </row>
  </sheetData>
  <pageMargins left="0.7" right="0.7" top="0.75" bottom="0.75" header="0.3" footer="0.3"/>
  <pageSetup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J46"/>
  <sheetViews>
    <sheetView tabSelected="1" zoomScaleNormal="100" workbookViewId="0">
      <selection activeCell="H11" sqref="H11"/>
    </sheetView>
  </sheetViews>
  <sheetFormatPr defaultColWidth="9.140625" defaultRowHeight="12.75" x14ac:dyDescent="0.2"/>
  <cols>
    <col min="1" max="1" width="3.140625" style="1" customWidth="1"/>
    <col min="2" max="2" width="16.7109375" style="1" customWidth="1"/>
    <col min="3" max="3" width="37.28515625" style="1" bestFit="1" customWidth="1"/>
    <col min="4" max="4" width="17.140625" style="1" customWidth="1"/>
    <col min="5" max="5" width="16" style="1" customWidth="1"/>
    <col min="6" max="6" width="4.42578125" style="1" customWidth="1"/>
    <col min="7" max="7" width="14.42578125" style="1" customWidth="1"/>
    <col min="8" max="8" width="15.28515625" style="1" customWidth="1"/>
    <col min="9" max="9" width="12.28515625" style="1" customWidth="1"/>
    <col min="10" max="10" width="11.140625" style="1" customWidth="1"/>
    <col min="11" max="16384" width="9.140625" style="1"/>
  </cols>
  <sheetData>
    <row r="1" spans="1:10" s="7" customFormat="1" ht="19.5" x14ac:dyDescent="0.4">
      <c r="B1" s="89" t="s">
        <v>76</v>
      </c>
    </row>
    <row r="2" spans="1:10" ht="15" customHeight="1" x14ac:dyDescent="0.2">
      <c r="B2" s="2"/>
    </row>
    <row r="3" spans="1:10" ht="14.25" customHeight="1" thickBot="1" x14ac:dyDescent="0.25">
      <c r="B3" s="3" t="s">
        <v>4</v>
      </c>
      <c r="C3" s="162" t="s">
        <v>218</v>
      </c>
      <c r="D3" s="163"/>
      <c r="E3" s="163"/>
      <c r="G3" s="158" t="s">
        <v>84</v>
      </c>
      <c r="H3" s="158"/>
      <c r="I3" s="158"/>
      <c r="J3" s="158"/>
    </row>
    <row r="4" spans="1:10" ht="15" customHeight="1" x14ac:dyDescent="0.2">
      <c r="B4" s="4" t="s">
        <v>83</v>
      </c>
      <c r="C4" s="164" t="s">
        <v>222</v>
      </c>
      <c r="D4" s="165"/>
      <c r="E4" s="165"/>
      <c r="F4" s="16"/>
      <c r="H4" s="109" t="s">
        <v>80</v>
      </c>
      <c r="I4" s="108"/>
      <c r="J4" s="109" t="s">
        <v>81</v>
      </c>
    </row>
    <row r="5" spans="1:10" ht="15" customHeight="1" x14ac:dyDescent="0.2">
      <c r="B5" s="5" t="s">
        <v>82</v>
      </c>
      <c r="C5" s="165" t="s">
        <v>219</v>
      </c>
      <c r="D5" s="166"/>
      <c r="E5" s="166"/>
      <c r="F5" s="7"/>
      <c r="H5" s="107" t="s">
        <v>79</v>
      </c>
      <c r="J5" s="107" t="s">
        <v>79</v>
      </c>
    </row>
    <row r="6" spans="1:10" ht="15" customHeight="1" x14ac:dyDescent="0.2">
      <c r="B6" s="5" t="s">
        <v>1</v>
      </c>
      <c r="C6" s="165" t="s">
        <v>220</v>
      </c>
      <c r="D6" s="166"/>
      <c r="E6" s="166"/>
      <c r="F6" s="7"/>
      <c r="G6" s="91" t="s">
        <v>65</v>
      </c>
      <c r="H6" s="92">
        <f>CON_Target_2012_2013</f>
        <v>26980.799999999999</v>
      </c>
      <c r="I6" s="91" t="s">
        <v>65</v>
      </c>
      <c r="J6" s="93">
        <f>CON_Target_2014_2015</f>
        <v>23739.599999999999</v>
      </c>
    </row>
    <row r="7" spans="1:10" ht="15" customHeight="1" x14ac:dyDescent="0.2">
      <c r="B7" s="5" t="s">
        <v>2</v>
      </c>
      <c r="C7" s="167" t="s">
        <v>221</v>
      </c>
      <c r="D7" s="168"/>
      <c r="E7" s="168"/>
      <c r="F7" s="7"/>
      <c r="G7" s="91" t="s">
        <v>66</v>
      </c>
      <c r="H7" s="94">
        <f>CON_2012_MWH+CON_2013_MWH</f>
        <v>32983.841130000001</v>
      </c>
    </row>
    <row r="8" spans="1:10" ht="15" customHeight="1" thickBot="1" x14ac:dyDescent="0.25">
      <c r="B8" s="5"/>
      <c r="C8" s="90"/>
      <c r="D8" s="7"/>
      <c r="E8" s="7"/>
      <c r="F8" s="7"/>
      <c r="G8" s="91" t="s">
        <v>67</v>
      </c>
      <c r="H8" s="95">
        <f>-(H6-H7)</f>
        <v>6003.0411300000014</v>
      </c>
    </row>
    <row r="9" spans="1:10" s="7" customFormat="1" ht="13.5" thickTop="1" x14ac:dyDescent="0.2">
      <c r="B9" s="172" t="s">
        <v>68</v>
      </c>
      <c r="C9" s="172"/>
      <c r="D9" s="172"/>
      <c r="E9" s="172"/>
      <c r="F9" s="173"/>
    </row>
    <row r="10" spans="1:10" s="7" customFormat="1" x14ac:dyDescent="0.2">
      <c r="B10" s="174" t="s">
        <v>36</v>
      </c>
      <c r="C10" s="159"/>
      <c r="D10" s="159" t="s">
        <v>71</v>
      </c>
      <c r="E10" s="159"/>
    </row>
    <row r="11" spans="1:10" ht="52.5" customHeight="1" x14ac:dyDescent="0.2">
      <c r="B11" s="96" t="s">
        <v>74</v>
      </c>
      <c r="C11" s="17" t="s">
        <v>50</v>
      </c>
      <c r="D11" s="17" t="s">
        <v>73</v>
      </c>
      <c r="E11" s="97" t="s">
        <v>72</v>
      </c>
    </row>
    <row r="12" spans="1:10" ht="15" customHeight="1" x14ac:dyDescent="0.2">
      <c r="B12" s="98">
        <v>169418.4</v>
      </c>
      <c r="C12" s="99">
        <v>26980.799999999999</v>
      </c>
      <c r="D12" s="99">
        <v>135867.6</v>
      </c>
      <c r="E12" s="100">
        <v>23739.599999999999</v>
      </c>
    </row>
    <row r="13" spans="1:10" ht="15" customHeight="1" thickBot="1" x14ac:dyDescent="0.25">
      <c r="B13" s="7"/>
      <c r="C13" s="7"/>
      <c r="D13" s="7"/>
      <c r="E13" s="7"/>
      <c r="F13" s="7"/>
      <c r="G13" s="7"/>
      <c r="H13" s="7"/>
    </row>
    <row r="14" spans="1:10" ht="13.5" thickTop="1" x14ac:dyDescent="0.2">
      <c r="B14" s="157" t="s">
        <v>3</v>
      </c>
      <c r="C14" s="157"/>
      <c r="D14" s="157"/>
      <c r="E14" s="157"/>
      <c r="F14" s="157"/>
      <c r="G14" s="157"/>
      <c r="H14" s="157"/>
    </row>
    <row r="15" spans="1:10" ht="15" customHeight="1" x14ac:dyDescent="0.2">
      <c r="A15" s="7"/>
      <c r="B15" s="18"/>
      <c r="D15" s="159" t="s">
        <v>48</v>
      </c>
      <c r="E15" s="159"/>
      <c r="G15" s="159" t="s">
        <v>70</v>
      </c>
      <c r="H15" s="159"/>
    </row>
    <row r="16" spans="1:10" ht="30.75" customHeight="1" x14ac:dyDescent="0.2">
      <c r="A16" s="7"/>
      <c r="C16" s="19" t="s">
        <v>42</v>
      </c>
      <c r="D16" s="17" t="s">
        <v>7</v>
      </c>
      <c r="E16" s="17" t="s">
        <v>8</v>
      </c>
      <c r="G16" s="17" t="s">
        <v>7</v>
      </c>
      <c r="H16" s="17" t="s">
        <v>8</v>
      </c>
    </row>
    <row r="17" spans="1:8" ht="15" customHeight="1" x14ac:dyDescent="0.2">
      <c r="A17" s="7"/>
      <c r="C17" s="35" t="s">
        <v>9</v>
      </c>
      <c r="D17" s="101">
        <f>2986876.03/1000</f>
        <v>2986.8760299999999</v>
      </c>
      <c r="E17" s="112">
        <v>1271002.6200000001</v>
      </c>
      <c r="G17" s="101">
        <f>5827755.26/1000</f>
        <v>5827.7552599999999</v>
      </c>
      <c r="H17" s="112">
        <v>1472980.97</v>
      </c>
    </row>
    <row r="18" spans="1:8" ht="15" customHeight="1" x14ac:dyDescent="0.2">
      <c r="A18" s="7"/>
      <c r="C18" s="35" t="s">
        <v>10</v>
      </c>
      <c r="D18" s="101">
        <f>4689755.57/1000</f>
        <v>4689.7555700000003</v>
      </c>
      <c r="E18" s="112">
        <v>1137145.44</v>
      </c>
      <c r="G18" s="101">
        <f>894995.58/1000</f>
        <v>894.9955799999999</v>
      </c>
      <c r="H18" s="112">
        <v>309044.7</v>
      </c>
    </row>
    <row r="19" spans="1:8" ht="15" customHeight="1" x14ac:dyDescent="0.2">
      <c r="A19" s="7"/>
      <c r="C19" s="35" t="s">
        <v>11</v>
      </c>
      <c r="D19" s="101">
        <f>3915568.45/1000</f>
        <v>3915.5684500000002</v>
      </c>
      <c r="E19" s="112">
        <v>859838.42</v>
      </c>
      <c r="G19" s="101">
        <f>789296.46/1000</f>
        <v>789.29645999999991</v>
      </c>
      <c r="H19" s="112">
        <v>43742.8</v>
      </c>
    </row>
    <row r="20" spans="1:8" ht="15" customHeight="1" x14ac:dyDescent="0.2">
      <c r="A20" s="7"/>
      <c r="C20" s="35" t="s">
        <v>12</v>
      </c>
      <c r="D20" s="101"/>
      <c r="E20" s="112"/>
      <c r="G20" s="101"/>
      <c r="H20" s="112"/>
    </row>
    <row r="21" spans="1:8" ht="15" customHeight="1" x14ac:dyDescent="0.2">
      <c r="A21" s="7"/>
      <c r="C21" s="35" t="s">
        <v>38</v>
      </c>
      <c r="D21" s="101"/>
      <c r="E21" s="112"/>
      <c r="G21" s="101"/>
      <c r="H21" s="112"/>
    </row>
    <row r="22" spans="1:8" ht="15" customHeight="1" x14ac:dyDescent="0.2">
      <c r="A22" s="7"/>
      <c r="C22" s="36" t="s">
        <v>243</v>
      </c>
      <c r="D22" s="101"/>
      <c r="E22" s="112">
        <v>323174.34999999998</v>
      </c>
      <c r="G22" s="101">
        <v>2113.877</v>
      </c>
      <c r="H22" s="112">
        <v>382618.89999999997</v>
      </c>
    </row>
    <row r="23" spans="1:8" ht="15" customHeight="1" x14ac:dyDescent="0.2">
      <c r="A23" s="7"/>
      <c r="C23" s="36" t="s">
        <v>5</v>
      </c>
      <c r="D23" s="102">
        <v>4250.7380000000003</v>
      </c>
      <c r="E23" s="112"/>
      <c r="G23" s="102">
        <v>5796.3850000000002</v>
      </c>
      <c r="H23" s="112"/>
    </row>
    <row r="24" spans="1:8" ht="15" customHeight="1" x14ac:dyDescent="0.2">
      <c r="A24" s="7"/>
      <c r="C24" s="156" t="str">
        <f>'[2]CalYr 2013'!$B$488</f>
        <v>Commercial (PECI - Grocery Store Program)</v>
      </c>
      <c r="D24" s="102">
        <f>383735.24/1000</f>
        <v>383.73523999999998</v>
      </c>
      <c r="E24" s="112">
        <v>50808.2</v>
      </c>
      <c r="G24" s="102">
        <f>1193973.54/1000</f>
        <v>1193.97354</v>
      </c>
      <c r="H24" s="112">
        <v>143608.76999999999</v>
      </c>
    </row>
    <row r="25" spans="1:8" ht="15" customHeight="1" x14ac:dyDescent="0.2">
      <c r="A25" s="7"/>
      <c r="C25" s="156" t="str">
        <f>'[2]CalYr 2013'!$B$489</f>
        <v>Commercial (Green Motor Program)</v>
      </c>
      <c r="D25" s="102">
        <f>62776/1000</f>
        <v>62.776000000000003</v>
      </c>
      <c r="E25" s="112"/>
      <c r="G25" s="102">
        <f>78109/1000</f>
        <v>78.108999999999995</v>
      </c>
      <c r="H25" s="112"/>
    </row>
    <row r="26" spans="1:8" ht="30.75" customHeight="1" x14ac:dyDescent="0.2">
      <c r="A26" s="7"/>
      <c r="B26" s="160" t="s">
        <v>69</v>
      </c>
      <c r="C26" s="161"/>
      <c r="E26" s="113"/>
      <c r="H26" s="113"/>
    </row>
    <row r="27" spans="1:8" ht="15" customHeight="1" x14ac:dyDescent="0.2">
      <c r="A27" s="7"/>
      <c r="C27" s="103"/>
      <c r="D27" s="110"/>
      <c r="E27" s="112"/>
      <c r="G27" s="110"/>
      <c r="H27" s="112"/>
    </row>
    <row r="28" spans="1:8" ht="15" customHeight="1" x14ac:dyDescent="0.2">
      <c r="A28" s="7"/>
      <c r="C28" s="103"/>
      <c r="D28" s="111"/>
      <c r="E28" s="112"/>
      <c r="G28" s="111"/>
      <c r="H28" s="112"/>
    </row>
    <row r="29" spans="1:8" ht="15" customHeight="1" x14ac:dyDescent="0.2">
      <c r="C29" s="37" t="s">
        <v>6</v>
      </c>
      <c r="D29" s="34">
        <f>SUM(D17:D25)</f>
        <v>16289.44929</v>
      </c>
      <c r="E29" s="114">
        <f>SUM(E17:E28)</f>
        <v>3641969.0300000003</v>
      </c>
      <c r="G29" s="34">
        <f>SUM(G17:G25)</f>
        <v>16694.39184</v>
      </c>
      <c r="H29" s="114">
        <f>SUM(H17:H28)</f>
        <v>2351996.14</v>
      </c>
    </row>
    <row r="30" spans="1:8" ht="15" customHeight="1" x14ac:dyDescent="0.2">
      <c r="B30" s="20"/>
      <c r="C30" s="21"/>
      <c r="D30" s="22"/>
      <c r="E30" s="21"/>
      <c r="F30" s="22"/>
    </row>
    <row r="31" spans="1:8" s="7" customFormat="1" ht="15" customHeight="1" x14ac:dyDescent="0.2">
      <c r="B31" s="3" t="s">
        <v>4</v>
      </c>
      <c r="C31" s="169" t="str">
        <f>CON_Utility_Name</f>
        <v>PUD #1 OF BENTON COUNTY</v>
      </c>
      <c r="D31" s="169"/>
      <c r="E31" s="169"/>
      <c r="F31" s="169"/>
    </row>
    <row r="32" spans="1:8" s="7" customFormat="1" ht="21" customHeight="1" x14ac:dyDescent="0.2">
      <c r="B32" s="3"/>
      <c r="C32" s="6"/>
      <c r="D32" s="6"/>
      <c r="E32" s="6"/>
      <c r="F32" s="6"/>
    </row>
    <row r="33" spans="2:6" s="23" customFormat="1" x14ac:dyDescent="0.25">
      <c r="B33" s="170" t="s">
        <v>75</v>
      </c>
      <c r="C33" s="171"/>
      <c r="D33" s="171"/>
      <c r="E33" s="171"/>
      <c r="F33" s="171"/>
    </row>
    <row r="34" spans="2:6" ht="15" customHeight="1" x14ac:dyDescent="0.2"/>
    <row r="35" spans="2:6" ht="15" customHeight="1" x14ac:dyDescent="0.2"/>
    <row r="36" spans="2:6" ht="15" customHeight="1" x14ac:dyDescent="0.2"/>
    <row r="37" spans="2:6" ht="15" customHeight="1" x14ac:dyDescent="0.2"/>
    <row r="38" spans="2:6" ht="15" customHeight="1" x14ac:dyDescent="0.2"/>
    <row r="39" spans="2:6" ht="15" customHeight="1" x14ac:dyDescent="0.2"/>
    <row r="40" spans="2:6" ht="15" customHeight="1" x14ac:dyDescent="0.2"/>
    <row r="41" spans="2:6" ht="15" customHeight="1" x14ac:dyDescent="0.2"/>
    <row r="42" spans="2:6" ht="15" customHeight="1" x14ac:dyDescent="0.2"/>
    <row r="43" spans="2:6" ht="15" customHeight="1" x14ac:dyDescent="0.2"/>
    <row r="44" spans="2:6" ht="15" customHeight="1" x14ac:dyDescent="0.2"/>
    <row r="45" spans="2:6" ht="15" customHeight="1" x14ac:dyDescent="0.2"/>
    <row r="46" spans="2:6" x14ac:dyDescent="0.2">
      <c r="B46" s="11" t="s">
        <v>37</v>
      </c>
    </row>
  </sheetData>
  <mergeCells count="16">
    <mergeCell ref="C31:F31"/>
    <mergeCell ref="B33:F33"/>
    <mergeCell ref="B9:F9"/>
    <mergeCell ref="B10:C10"/>
    <mergeCell ref="D10:E10"/>
    <mergeCell ref="G14:H14"/>
    <mergeCell ref="G3:J3"/>
    <mergeCell ref="G15:H15"/>
    <mergeCell ref="B14:F14"/>
    <mergeCell ref="B26:C26"/>
    <mergeCell ref="D15:E15"/>
    <mergeCell ref="C3:E3"/>
    <mergeCell ref="C4:E4"/>
    <mergeCell ref="C5:E5"/>
    <mergeCell ref="C6:E6"/>
    <mergeCell ref="C7:E7"/>
  </mergeCells>
  <hyperlinks>
    <hyperlink ref="C7" r:id="rId1"/>
  </hyperlinks>
  <pageMargins left="0.7" right="0.7" top="0.75" bottom="0.75" header="0.3" footer="0.3"/>
  <pageSetup scale="82" fitToHeight="0" orientation="landscape" r:id="rId2"/>
  <rowBreaks count="1" manualBreakCount="1">
    <brk id="29"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H137"/>
  <sheetViews>
    <sheetView showGridLines="0" view="pageBreakPreview" zoomScaleNormal="90" zoomScaleSheetLayoutView="100" workbookViewId="0">
      <selection activeCell="F3" sqref="F3"/>
    </sheetView>
  </sheetViews>
  <sheetFormatPr defaultColWidth="9.140625" defaultRowHeight="12.75" x14ac:dyDescent="0.2"/>
  <cols>
    <col min="1" max="1" width="2.7109375" style="1" customWidth="1"/>
    <col min="2" max="2" width="37.42578125" style="1" customWidth="1"/>
    <col min="3" max="3" width="11" style="1" bestFit="1" customWidth="1"/>
    <col min="4" max="4" width="10.28515625" style="1" customWidth="1"/>
    <col min="5" max="13" width="10.7109375" style="1" customWidth="1"/>
    <col min="14" max="14" width="14.28515625" style="1" customWidth="1"/>
    <col min="15" max="15" width="10.7109375" style="1" customWidth="1"/>
    <col min="16" max="16" width="10.5703125" style="1" customWidth="1"/>
    <col min="17" max="17" width="10.7109375" style="1" customWidth="1"/>
    <col min="18" max="16384" width="9.140625" style="1"/>
  </cols>
  <sheetData>
    <row r="1" spans="2:34" s="7" customFormat="1" ht="19.5" x14ac:dyDescent="0.4">
      <c r="B1" s="73" t="s">
        <v>59</v>
      </c>
      <c r="C1" s="73"/>
      <c r="D1" s="73"/>
      <c r="AC1" s="68" t="s">
        <v>51</v>
      </c>
      <c r="AH1" s="65"/>
    </row>
    <row r="2" spans="2:34" ht="14.25" x14ac:dyDescent="0.2">
      <c r="B2" s="28"/>
      <c r="C2" s="28"/>
      <c r="D2" s="28"/>
      <c r="I2" s="186" t="s">
        <v>47</v>
      </c>
      <c r="J2" s="187"/>
      <c r="K2" s="187"/>
      <c r="L2" s="187"/>
      <c r="M2" s="187"/>
      <c r="N2" s="188"/>
      <c r="AC2" s="69" t="s">
        <v>52</v>
      </c>
      <c r="AH2" s="63"/>
    </row>
    <row r="3" spans="2:34" ht="15" customHeight="1" x14ac:dyDescent="0.2">
      <c r="B3" s="3" t="s">
        <v>4</v>
      </c>
      <c r="C3" s="162" t="s">
        <v>218</v>
      </c>
      <c r="D3" s="163"/>
      <c r="E3" s="163"/>
      <c r="I3" s="82"/>
      <c r="J3" s="7"/>
      <c r="K3" s="7"/>
      <c r="L3" s="7"/>
      <c r="M3" s="81" t="s">
        <v>43</v>
      </c>
      <c r="N3" s="143">
        <v>1645277</v>
      </c>
      <c r="AC3" s="69" t="s">
        <v>53</v>
      </c>
      <c r="AH3" s="63"/>
    </row>
    <row r="4" spans="2:34" ht="15" customHeight="1" thickBot="1" x14ac:dyDescent="0.25">
      <c r="B4" s="4" t="s">
        <v>83</v>
      </c>
      <c r="C4" s="164" t="s">
        <v>244</v>
      </c>
      <c r="D4" s="165"/>
      <c r="E4" s="165"/>
      <c r="I4" s="82"/>
      <c r="J4" s="7"/>
      <c r="K4" s="7"/>
      <c r="L4" s="7"/>
      <c r="M4" s="81" t="s">
        <v>56</v>
      </c>
      <c r="N4" s="143">
        <v>1696774</v>
      </c>
      <c r="AC4" s="69" t="s">
        <v>54</v>
      </c>
      <c r="AH4" s="64"/>
    </row>
    <row r="5" spans="2:34" ht="15" customHeight="1" x14ac:dyDescent="0.2">
      <c r="B5" s="5" t="s">
        <v>0</v>
      </c>
      <c r="C5" s="165" t="s">
        <v>219</v>
      </c>
      <c r="D5" s="166"/>
      <c r="E5" s="166"/>
      <c r="I5" s="82"/>
      <c r="J5" s="7"/>
      <c r="K5" s="7"/>
      <c r="L5" s="7"/>
      <c r="M5" s="81" t="s">
        <v>57</v>
      </c>
      <c r="N5" s="83">
        <f>AVERAGE(N3:N4)</f>
        <v>1671025.5</v>
      </c>
    </row>
    <row r="6" spans="2:34" ht="15" customHeight="1" x14ac:dyDescent="0.2">
      <c r="B6" s="5" t="s">
        <v>1</v>
      </c>
      <c r="C6" s="165" t="s">
        <v>220</v>
      </c>
      <c r="D6" s="166"/>
      <c r="E6" s="166"/>
      <c r="I6" s="82"/>
      <c r="J6" s="7"/>
      <c r="K6" s="7"/>
      <c r="L6" s="7"/>
      <c r="M6" s="81" t="s">
        <v>58</v>
      </c>
      <c r="N6" s="84">
        <v>0.03</v>
      </c>
    </row>
    <row r="7" spans="2:34" ht="15" customHeight="1" x14ac:dyDescent="0.2">
      <c r="B7" s="5" t="s">
        <v>2</v>
      </c>
      <c r="C7" s="167" t="s">
        <v>221</v>
      </c>
      <c r="D7" s="168"/>
      <c r="E7" s="168"/>
      <c r="I7" s="105"/>
      <c r="J7" s="7"/>
      <c r="K7" s="7"/>
      <c r="L7" s="7"/>
      <c r="M7" s="81" t="s">
        <v>64</v>
      </c>
      <c r="N7" s="83">
        <f>N5*N6</f>
        <v>50130.764999999999</v>
      </c>
    </row>
    <row r="8" spans="2:34" ht="15" customHeight="1" x14ac:dyDescent="0.2">
      <c r="B8" s="5"/>
      <c r="C8" s="5"/>
      <c r="D8" s="5"/>
      <c r="E8" s="62"/>
      <c r="I8" s="85"/>
      <c r="J8" s="86"/>
      <c r="K8" s="86"/>
      <c r="L8" s="86"/>
      <c r="M8" s="87" t="s">
        <v>55</v>
      </c>
      <c r="N8" s="88">
        <f>SUM(C20:M20)</f>
        <v>50131</v>
      </c>
      <c r="Q8" s="152"/>
    </row>
    <row r="9" spans="2:34" ht="15" customHeight="1" x14ac:dyDescent="0.2">
      <c r="B9" s="3" t="s">
        <v>60</v>
      </c>
      <c r="C9" s="74"/>
      <c r="D9" s="74"/>
    </row>
    <row r="10" spans="2:34" ht="15" customHeight="1" x14ac:dyDescent="0.2">
      <c r="C10" s="28"/>
      <c r="D10" s="28"/>
      <c r="G10" s="189" t="s">
        <v>167</v>
      </c>
      <c r="H10" s="190"/>
      <c r="I10" s="190"/>
      <c r="J10" s="190"/>
      <c r="K10" s="190"/>
      <c r="L10" s="190"/>
      <c r="M10" s="190"/>
      <c r="N10" s="191"/>
    </row>
    <row r="11" spans="2:34" s="66" customFormat="1" ht="14.25" customHeight="1" x14ac:dyDescent="0.25">
      <c r="B11" s="1"/>
      <c r="C11" s="67"/>
      <c r="D11" s="67"/>
      <c r="G11" s="82" t="s">
        <v>166</v>
      </c>
      <c r="H11" s="117"/>
      <c r="I11" s="117"/>
      <c r="J11" s="117"/>
      <c r="K11" s="117"/>
      <c r="L11" s="117"/>
      <c r="M11" s="7"/>
      <c r="N11" s="119">
        <v>2881391.6994687845</v>
      </c>
      <c r="O11" s="155" t="s">
        <v>242</v>
      </c>
    </row>
    <row r="12" spans="2:34" x14ac:dyDescent="0.2">
      <c r="C12" s="28"/>
      <c r="D12" s="28"/>
      <c r="G12" s="82" t="s">
        <v>174</v>
      </c>
      <c r="H12" s="115"/>
      <c r="I12" s="115"/>
      <c r="J12" s="115"/>
      <c r="K12" s="115"/>
      <c r="L12" s="7"/>
      <c r="M12" s="7"/>
      <c r="N12" s="119">
        <v>116425692</v>
      </c>
      <c r="O12" s="155" t="s">
        <v>241</v>
      </c>
    </row>
    <row r="13" spans="2:34" x14ac:dyDescent="0.2">
      <c r="G13" s="118" t="s">
        <v>168</v>
      </c>
      <c r="H13" s="116"/>
      <c r="I13" s="116"/>
      <c r="J13" s="116"/>
      <c r="K13" s="116"/>
      <c r="L13" s="86"/>
      <c r="M13" s="86"/>
      <c r="N13" s="120">
        <f>REN_Expenditure_Amount_2014/REN_RetailRevenueRequirement_2014</f>
        <v>2.4748761634749695E-2</v>
      </c>
    </row>
    <row r="14" spans="2:34" ht="17.45" customHeight="1" x14ac:dyDescent="0.2">
      <c r="I14" s="175"/>
      <c r="J14" s="175"/>
      <c r="K14" s="175"/>
      <c r="L14" s="175"/>
      <c r="M14" s="175"/>
      <c r="N14" s="59"/>
      <c r="O14" s="24"/>
      <c r="P14" s="24"/>
    </row>
    <row r="15" spans="2:34" ht="16.899999999999999" customHeight="1" x14ac:dyDescent="0.2">
      <c r="B15" s="5"/>
      <c r="C15" s="33" t="s">
        <v>14</v>
      </c>
      <c r="D15" s="31" t="s">
        <v>15</v>
      </c>
      <c r="E15" s="31" t="s">
        <v>16</v>
      </c>
      <c r="F15" s="31" t="s">
        <v>17</v>
      </c>
      <c r="G15" s="31" t="s">
        <v>18</v>
      </c>
      <c r="H15" s="31" t="s">
        <v>19</v>
      </c>
      <c r="I15" s="31" t="s">
        <v>20</v>
      </c>
      <c r="J15" s="31" t="s">
        <v>21</v>
      </c>
      <c r="K15" s="32" t="s">
        <v>22</v>
      </c>
      <c r="L15" s="32" t="s">
        <v>85</v>
      </c>
      <c r="M15" s="32" t="s">
        <v>86</v>
      </c>
      <c r="N15" s="59"/>
      <c r="O15" s="24"/>
      <c r="P15" s="24"/>
    </row>
    <row r="16" spans="2:34" ht="21.75" customHeight="1" x14ac:dyDescent="0.2">
      <c r="B16" s="10"/>
      <c r="C16" s="27" t="s">
        <v>23</v>
      </c>
      <c r="D16" s="27" t="s">
        <v>24</v>
      </c>
      <c r="E16" s="27" t="s">
        <v>25</v>
      </c>
      <c r="F16" s="27" t="s">
        <v>26</v>
      </c>
      <c r="G16" s="27" t="s">
        <v>27</v>
      </c>
      <c r="H16" s="27" t="s">
        <v>41</v>
      </c>
      <c r="I16" s="27" t="s">
        <v>28</v>
      </c>
      <c r="J16" s="27" t="s">
        <v>29</v>
      </c>
      <c r="K16" s="27" t="s">
        <v>30</v>
      </c>
      <c r="L16" s="27" t="s">
        <v>34</v>
      </c>
      <c r="M16" s="27" t="s">
        <v>31</v>
      </c>
      <c r="N16" s="59"/>
      <c r="O16" s="24"/>
      <c r="P16" s="24"/>
    </row>
    <row r="17" spans="2:34" ht="18" customHeight="1" x14ac:dyDescent="0.2">
      <c r="B17" s="5"/>
      <c r="C17" s="25" t="s">
        <v>7</v>
      </c>
      <c r="D17" s="25" t="s">
        <v>7</v>
      </c>
      <c r="E17" s="25" t="s">
        <v>7</v>
      </c>
      <c r="F17" s="25" t="s">
        <v>7</v>
      </c>
      <c r="G17" s="25" t="s">
        <v>7</v>
      </c>
      <c r="H17" s="25" t="s">
        <v>7</v>
      </c>
      <c r="I17" s="25" t="s">
        <v>7</v>
      </c>
      <c r="J17" s="25" t="s">
        <v>7</v>
      </c>
      <c r="K17" s="25" t="s">
        <v>7</v>
      </c>
      <c r="L17" s="25" t="s">
        <v>63</v>
      </c>
      <c r="M17" s="25" t="s">
        <v>63</v>
      </c>
      <c r="N17" s="59"/>
      <c r="O17" s="24"/>
      <c r="P17" s="24"/>
    </row>
    <row r="18" spans="2:34" ht="15" customHeight="1" x14ac:dyDescent="0.2">
      <c r="B18" s="4" t="s">
        <v>44</v>
      </c>
      <c r="C18" s="12">
        <f t="shared" ref="C18:L18" si="0">SUM(E44:E64)</f>
        <v>0</v>
      </c>
      <c r="D18" s="12">
        <f t="shared" si="0"/>
        <v>0</v>
      </c>
      <c r="E18" s="12">
        <f t="shared" si="0"/>
        <v>0</v>
      </c>
      <c r="F18" s="12">
        <f t="shared" si="0"/>
        <v>0</v>
      </c>
      <c r="G18" s="12">
        <f t="shared" si="0"/>
        <v>0</v>
      </c>
      <c r="H18" s="12">
        <f t="shared" si="0"/>
        <v>0</v>
      </c>
      <c r="I18" s="12">
        <f t="shared" si="0"/>
        <v>0</v>
      </c>
      <c r="J18" s="12">
        <f t="shared" si="0"/>
        <v>0</v>
      </c>
      <c r="K18" s="12">
        <f t="shared" si="0"/>
        <v>0</v>
      </c>
      <c r="L18" s="12">
        <f t="shared" si="0"/>
        <v>0</v>
      </c>
      <c r="M18" s="104"/>
      <c r="N18" s="60"/>
      <c r="O18" s="71"/>
      <c r="P18" s="71"/>
    </row>
    <row r="19" spans="2:34" ht="16.5" customHeight="1" x14ac:dyDescent="0.2">
      <c r="B19" s="4" t="s">
        <v>45</v>
      </c>
      <c r="C19" s="104"/>
      <c r="D19" s="13">
        <f t="shared" ref="D19:M19" si="1">SUM(F72:F97)</f>
        <v>50131</v>
      </c>
      <c r="E19" s="13">
        <f t="shared" si="1"/>
        <v>0</v>
      </c>
      <c r="F19" s="13">
        <f t="shared" si="1"/>
        <v>0</v>
      </c>
      <c r="G19" s="13">
        <f t="shared" si="1"/>
        <v>0</v>
      </c>
      <c r="H19" s="13">
        <f t="shared" si="1"/>
        <v>0</v>
      </c>
      <c r="I19" s="13">
        <f t="shared" si="1"/>
        <v>0</v>
      </c>
      <c r="J19" s="13">
        <f t="shared" si="1"/>
        <v>0</v>
      </c>
      <c r="K19" s="13">
        <f t="shared" si="1"/>
        <v>0</v>
      </c>
      <c r="L19" s="13">
        <f t="shared" si="1"/>
        <v>0</v>
      </c>
      <c r="M19" s="13">
        <f t="shared" si="1"/>
        <v>0</v>
      </c>
      <c r="N19" s="61"/>
      <c r="O19" s="24"/>
      <c r="P19" s="24"/>
    </row>
    <row r="20" spans="2:34" ht="16.5" customHeight="1" x14ac:dyDescent="0.2">
      <c r="B20" s="5" t="s">
        <v>46</v>
      </c>
      <c r="C20" s="14">
        <f t="shared" ref="C20:L20" si="2">C18+C19</f>
        <v>0</v>
      </c>
      <c r="D20" s="14">
        <f>D18+D19</f>
        <v>50131</v>
      </c>
      <c r="E20" s="14">
        <f t="shared" si="2"/>
        <v>0</v>
      </c>
      <c r="F20" s="14">
        <f t="shared" si="2"/>
        <v>0</v>
      </c>
      <c r="G20" s="14">
        <f t="shared" si="2"/>
        <v>0</v>
      </c>
      <c r="H20" s="14">
        <f t="shared" si="2"/>
        <v>0</v>
      </c>
      <c r="I20" s="14">
        <f t="shared" si="2"/>
        <v>0</v>
      </c>
      <c r="J20" s="14">
        <f t="shared" si="2"/>
        <v>0</v>
      </c>
      <c r="K20" s="14">
        <f t="shared" si="2"/>
        <v>0</v>
      </c>
      <c r="L20" s="14">
        <f t="shared" si="2"/>
        <v>0</v>
      </c>
      <c r="M20" s="13">
        <f>M19</f>
        <v>0</v>
      </c>
      <c r="N20" s="61"/>
      <c r="O20" s="24"/>
      <c r="P20" s="24"/>
    </row>
    <row r="21" spans="2:34" ht="16.5" customHeight="1" x14ac:dyDescent="0.2">
      <c r="L21" s="7"/>
      <c r="M21" s="4"/>
      <c r="N21" s="61"/>
      <c r="O21" s="24"/>
      <c r="P21" s="24"/>
    </row>
    <row r="22" spans="2:34" ht="21.75" customHeight="1" x14ac:dyDescent="0.2">
      <c r="L22" s="7"/>
      <c r="M22" s="4"/>
      <c r="N22" s="61"/>
      <c r="O22" s="24"/>
      <c r="P22" s="24"/>
    </row>
    <row r="23" spans="2:34" ht="15" customHeight="1" x14ac:dyDescent="0.2">
      <c r="B23" s="72"/>
      <c r="C23" s="75"/>
      <c r="D23" s="75"/>
      <c r="E23" s="72"/>
      <c r="F23" s="75"/>
      <c r="G23" s="75"/>
      <c r="I23" s="7"/>
      <c r="J23" s="7"/>
      <c r="K23" s="7"/>
      <c r="L23" s="7"/>
      <c r="M23" s="4"/>
      <c r="N23" s="61"/>
      <c r="O23" s="24"/>
      <c r="P23" s="24"/>
    </row>
    <row r="24" spans="2:34" ht="15" customHeight="1" x14ac:dyDescent="0.2"/>
    <row r="25" spans="2:34" s="11" customFormat="1" x14ac:dyDescent="0.2">
      <c r="AH25" s="1"/>
    </row>
    <row r="26" spans="2:34" ht="15" customHeight="1" x14ac:dyDescent="0.2">
      <c r="AH26" s="11"/>
    </row>
    <row r="27" spans="2:34" ht="15" customHeight="1" x14ac:dyDescent="0.2">
      <c r="AH27" s="11"/>
    </row>
    <row r="28" spans="2:34" ht="15" customHeight="1" x14ac:dyDescent="0.2">
      <c r="AH28" s="11"/>
    </row>
    <row r="29" spans="2:34" ht="15" customHeight="1" x14ac:dyDescent="0.2">
      <c r="AH29" s="11"/>
    </row>
    <row r="30" spans="2:34" ht="15" customHeight="1" x14ac:dyDescent="0.2">
      <c r="AH30" s="11"/>
    </row>
    <row r="31" spans="2:34" ht="15" customHeight="1" x14ac:dyDescent="0.2">
      <c r="AH31" s="11"/>
    </row>
    <row r="32" spans="2:34" ht="15" customHeight="1" x14ac:dyDescent="0.2">
      <c r="AH32" s="11"/>
    </row>
    <row r="33" spans="2:34" ht="15" customHeight="1" x14ac:dyDescent="0.2"/>
    <row r="34" spans="2:34" ht="15" customHeight="1" x14ac:dyDescent="0.2"/>
    <row r="35" spans="2:34" ht="15" customHeight="1" x14ac:dyDescent="0.2"/>
    <row r="36" spans="2:34" ht="16.5" customHeight="1" x14ac:dyDescent="0.2">
      <c r="B36" s="6" t="s">
        <v>39</v>
      </c>
      <c r="C36" s="6"/>
      <c r="D36" s="6"/>
      <c r="E36" s="10" t="s">
        <v>4</v>
      </c>
      <c r="F36" s="176" t="str">
        <f>C3</f>
        <v>PUD #1 OF BENTON COUNTY</v>
      </c>
      <c r="G36" s="177"/>
      <c r="H36" s="178"/>
    </row>
    <row r="37" spans="2:34" ht="15" customHeight="1" x14ac:dyDescent="0.2">
      <c r="E37" s="10" t="s">
        <v>13</v>
      </c>
      <c r="F37" s="179">
        <v>2014</v>
      </c>
      <c r="G37" s="180"/>
      <c r="H37" s="181"/>
    </row>
    <row r="38" spans="2:34" ht="15" customHeight="1" x14ac:dyDescent="0.2">
      <c r="E38" s="10"/>
      <c r="F38" s="70"/>
      <c r="G38" s="9"/>
      <c r="H38" s="9"/>
    </row>
    <row r="39" spans="2:34" s="29" customFormat="1" ht="27" customHeight="1" x14ac:dyDescent="0.25">
      <c r="B39" s="182" t="s">
        <v>172</v>
      </c>
      <c r="C39" s="183"/>
      <c r="D39" s="183"/>
      <c r="E39" s="184"/>
      <c r="F39" s="184"/>
      <c r="G39" s="184"/>
      <c r="H39" s="30"/>
      <c r="AH39" s="1"/>
    </row>
    <row r="40" spans="2:34" ht="15" customHeight="1" x14ac:dyDescent="0.2">
      <c r="E40" s="15"/>
      <c r="F40" s="15"/>
      <c r="G40" s="15"/>
      <c r="H40" s="15"/>
      <c r="I40" s="15"/>
      <c r="J40" s="15"/>
      <c r="K40" s="15"/>
      <c r="L40" s="15"/>
      <c r="M40" s="15"/>
      <c r="N40" s="15"/>
      <c r="P40" s="15"/>
      <c r="Q40" s="15"/>
      <c r="R40" s="15"/>
      <c r="S40" s="15"/>
      <c r="AH40" s="29"/>
    </row>
    <row r="41" spans="2:34" s="7" customFormat="1" ht="12.75" customHeight="1" x14ac:dyDescent="0.2">
      <c r="E41" s="33" t="s">
        <v>14</v>
      </c>
      <c r="F41" s="31" t="s">
        <v>15</v>
      </c>
      <c r="G41" s="31" t="s">
        <v>16</v>
      </c>
      <c r="H41" s="31" t="s">
        <v>17</v>
      </c>
      <c r="I41" s="31" t="s">
        <v>18</v>
      </c>
      <c r="J41" s="31" t="s">
        <v>19</v>
      </c>
      <c r="K41" s="31" t="s">
        <v>20</v>
      </c>
      <c r="L41" s="31" t="s">
        <v>21</v>
      </c>
      <c r="M41" s="32" t="s">
        <v>22</v>
      </c>
      <c r="N41" s="32" t="s">
        <v>85</v>
      </c>
      <c r="O41" s="1"/>
      <c r="AH41" s="1"/>
    </row>
    <row r="42" spans="2:34" s="11" customFormat="1" ht="43.5" customHeight="1" x14ac:dyDescent="0.2">
      <c r="E42" s="27" t="s">
        <v>33</v>
      </c>
      <c r="F42" s="27" t="s">
        <v>24</v>
      </c>
      <c r="G42" s="27" t="s">
        <v>25</v>
      </c>
      <c r="H42" s="27" t="s">
        <v>26</v>
      </c>
      <c r="I42" s="27" t="s">
        <v>27</v>
      </c>
      <c r="J42" s="27" t="s">
        <v>40</v>
      </c>
      <c r="K42" s="27" t="s">
        <v>28</v>
      </c>
      <c r="L42" s="27" t="s">
        <v>29</v>
      </c>
      <c r="M42" s="27" t="s">
        <v>30</v>
      </c>
      <c r="N42" s="27" t="s">
        <v>34</v>
      </c>
      <c r="O42" s="1"/>
      <c r="AH42" s="7"/>
    </row>
    <row r="43" spans="2:34" ht="15" customHeight="1" x14ac:dyDescent="0.2">
      <c r="B43" s="76" t="s">
        <v>35</v>
      </c>
      <c r="C43" s="185" t="s">
        <v>61</v>
      </c>
      <c r="D43" s="185"/>
      <c r="E43" s="25" t="s">
        <v>7</v>
      </c>
      <c r="F43" s="25" t="s">
        <v>7</v>
      </c>
      <c r="G43" s="25" t="s">
        <v>7</v>
      </c>
      <c r="H43" s="25" t="s">
        <v>7</v>
      </c>
      <c r="I43" s="25" t="s">
        <v>7</v>
      </c>
      <c r="J43" s="25" t="s">
        <v>7</v>
      </c>
      <c r="K43" s="25" t="s">
        <v>7</v>
      </c>
      <c r="L43" s="25" t="s">
        <v>7</v>
      </c>
      <c r="M43" s="25" t="s">
        <v>7</v>
      </c>
      <c r="N43" s="25" t="s">
        <v>63</v>
      </c>
      <c r="AH43" s="11"/>
    </row>
    <row r="44" spans="2:34" ht="15" customHeight="1" x14ac:dyDescent="0.2">
      <c r="B44" s="77"/>
      <c r="C44" s="43"/>
      <c r="D44" s="43"/>
      <c r="E44" s="46"/>
      <c r="F44" s="47"/>
      <c r="G44" s="47"/>
      <c r="H44" s="47"/>
      <c r="I44" s="47"/>
      <c r="J44" s="47"/>
      <c r="K44" s="47"/>
      <c r="L44" s="47"/>
      <c r="M44" s="47"/>
      <c r="N44" s="47"/>
    </row>
    <row r="45" spans="2:34" ht="15" customHeight="1" x14ac:dyDescent="0.2">
      <c r="B45" s="78"/>
      <c r="C45" s="44"/>
      <c r="D45" s="44"/>
      <c r="E45" s="49"/>
      <c r="F45" s="50"/>
      <c r="G45" s="50"/>
      <c r="H45" s="50"/>
      <c r="I45" s="50"/>
      <c r="J45" s="50"/>
      <c r="K45" s="50"/>
      <c r="L45" s="50"/>
      <c r="M45" s="50"/>
      <c r="N45" s="50"/>
    </row>
    <row r="46" spans="2:34" ht="15" customHeight="1" x14ac:dyDescent="0.2">
      <c r="B46" s="78"/>
      <c r="C46" s="44"/>
      <c r="D46" s="44"/>
      <c r="E46" s="49"/>
      <c r="F46" s="50"/>
      <c r="G46" s="50"/>
      <c r="H46" s="50"/>
      <c r="I46" s="50"/>
      <c r="J46" s="50"/>
      <c r="K46" s="50"/>
      <c r="L46" s="50"/>
      <c r="M46" s="50"/>
      <c r="N46" s="50"/>
    </row>
    <row r="47" spans="2:34" ht="15" customHeight="1" x14ac:dyDescent="0.2">
      <c r="B47" s="79"/>
      <c r="C47" s="45"/>
      <c r="D47" s="45"/>
      <c r="E47" s="49"/>
      <c r="F47" s="50"/>
      <c r="G47" s="50"/>
      <c r="H47" s="50"/>
      <c r="I47" s="50"/>
      <c r="J47" s="50"/>
      <c r="K47" s="50"/>
      <c r="L47" s="50"/>
      <c r="M47" s="50"/>
      <c r="N47" s="50"/>
    </row>
    <row r="48" spans="2:34" ht="15" customHeight="1" x14ac:dyDescent="0.2">
      <c r="B48" s="80"/>
      <c r="C48" s="38"/>
      <c r="D48" s="38"/>
      <c r="E48" s="49"/>
      <c r="F48" s="50"/>
      <c r="G48" s="50"/>
      <c r="H48" s="50"/>
      <c r="I48" s="50"/>
      <c r="J48" s="50"/>
      <c r="K48" s="50"/>
      <c r="L48" s="50"/>
      <c r="M48" s="50"/>
      <c r="N48" s="50"/>
    </row>
    <row r="49" spans="2:14" ht="15" customHeight="1" x14ac:dyDescent="0.2">
      <c r="B49" s="41"/>
      <c r="C49" s="39"/>
      <c r="D49" s="39"/>
      <c r="E49" s="49"/>
      <c r="F49" s="50"/>
      <c r="G49" s="50"/>
      <c r="H49" s="50"/>
      <c r="I49" s="50"/>
      <c r="J49" s="50"/>
      <c r="K49" s="50"/>
      <c r="L49" s="50"/>
      <c r="M49" s="50"/>
      <c r="N49" s="50"/>
    </row>
    <row r="50" spans="2:14" ht="15" customHeight="1" x14ac:dyDescent="0.2">
      <c r="B50" s="41"/>
      <c r="C50" s="39"/>
      <c r="D50" s="39"/>
      <c r="E50" s="49"/>
      <c r="F50" s="50"/>
      <c r="G50" s="50"/>
      <c r="H50" s="50"/>
      <c r="I50" s="50"/>
      <c r="J50" s="50"/>
      <c r="K50" s="50"/>
      <c r="L50" s="50"/>
      <c r="M50" s="50"/>
      <c r="N50" s="50"/>
    </row>
    <row r="51" spans="2:14" ht="15" customHeight="1" x14ac:dyDescent="0.2">
      <c r="B51" s="41"/>
      <c r="C51" s="39"/>
      <c r="D51" s="39"/>
      <c r="E51" s="49"/>
      <c r="F51" s="50"/>
      <c r="G51" s="50"/>
      <c r="H51" s="50"/>
      <c r="I51" s="50"/>
      <c r="J51" s="50"/>
      <c r="K51" s="50"/>
      <c r="L51" s="50"/>
      <c r="M51" s="50"/>
      <c r="N51" s="50"/>
    </row>
    <row r="52" spans="2:14" ht="15" customHeight="1" x14ac:dyDescent="0.2">
      <c r="B52" s="41"/>
      <c r="C52" s="39"/>
      <c r="D52" s="39"/>
      <c r="E52" s="49"/>
      <c r="F52" s="50"/>
      <c r="G52" s="50"/>
      <c r="H52" s="50"/>
      <c r="I52" s="50"/>
      <c r="J52" s="50"/>
      <c r="K52" s="50"/>
      <c r="L52" s="50"/>
      <c r="M52" s="50"/>
      <c r="N52" s="50"/>
    </row>
    <row r="53" spans="2:14" ht="15" customHeight="1" x14ac:dyDescent="0.2">
      <c r="B53" s="41"/>
      <c r="C53" s="39"/>
      <c r="D53" s="39"/>
      <c r="E53" s="49"/>
      <c r="F53" s="50"/>
      <c r="G53" s="50"/>
      <c r="H53" s="50"/>
      <c r="I53" s="50"/>
      <c r="J53" s="50"/>
      <c r="K53" s="50"/>
      <c r="L53" s="50"/>
      <c r="M53" s="50"/>
      <c r="N53" s="50"/>
    </row>
    <row r="54" spans="2:14" ht="15" customHeight="1" x14ac:dyDescent="0.2">
      <c r="B54" s="41"/>
      <c r="C54" s="39"/>
      <c r="D54" s="39"/>
      <c r="E54" s="49"/>
      <c r="F54" s="50"/>
      <c r="G54" s="50"/>
      <c r="H54" s="50"/>
      <c r="I54" s="50"/>
      <c r="J54" s="50"/>
      <c r="K54" s="50"/>
      <c r="L54" s="50"/>
      <c r="M54" s="50"/>
      <c r="N54" s="50"/>
    </row>
    <row r="55" spans="2:14" ht="15" customHeight="1" x14ac:dyDescent="0.2">
      <c r="B55" s="41"/>
      <c r="C55" s="39"/>
      <c r="D55" s="39"/>
      <c r="E55" s="49"/>
      <c r="F55" s="50"/>
      <c r="G55" s="50"/>
      <c r="H55" s="50"/>
      <c r="I55" s="50"/>
      <c r="J55" s="50"/>
      <c r="K55" s="50"/>
      <c r="L55" s="50"/>
      <c r="M55" s="50"/>
      <c r="N55" s="50"/>
    </row>
    <row r="56" spans="2:14" ht="15" customHeight="1" x14ac:dyDescent="0.2">
      <c r="B56" s="41"/>
      <c r="C56" s="39"/>
      <c r="D56" s="39"/>
      <c r="E56" s="49"/>
      <c r="F56" s="50"/>
      <c r="G56" s="50"/>
      <c r="H56" s="50"/>
      <c r="I56" s="50"/>
      <c r="J56" s="50"/>
      <c r="K56" s="50"/>
      <c r="L56" s="50"/>
      <c r="M56" s="50"/>
      <c r="N56" s="50"/>
    </row>
    <row r="57" spans="2:14" ht="15" customHeight="1" x14ac:dyDescent="0.2">
      <c r="B57" s="41"/>
      <c r="C57" s="39"/>
      <c r="D57" s="39"/>
      <c r="E57" s="49"/>
      <c r="F57" s="50"/>
      <c r="G57" s="50"/>
      <c r="H57" s="50"/>
      <c r="I57" s="50"/>
      <c r="J57" s="50"/>
      <c r="K57" s="50"/>
      <c r="L57" s="50"/>
      <c r="M57" s="50"/>
      <c r="N57" s="50"/>
    </row>
    <row r="58" spans="2:14" ht="15" customHeight="1" x14ac:dyDescent="0.2">
      <c r="B58" s="41"/>
      <c r="C58" s="39"/>
      <c r="D58" s="39"/>
      <c r="E58" s="49"/>
      <c r="F58" s="50"/>
      <c r="G58" s="50"/>
      <c r="H58" s="50"/>
      <c r="I58" s="50"/>
      <c r="J58" s="50"/>
      <c r="K58" s="50"/>
      <c r="L58" s="50"/>
      <c r="M58" s="50"/>
      <c r="N58" s="50"/>
    </row>
    <row r="59" spans="2:14" ht="15" customHeight="1" x14ac:dyDescent="0.2">
      <c r="B59" s="41"/>
      <c r="C59" s="39"/>
      <c r="D59" s="39"/>
      <c r="E59" s="49"/>
      <c r="F59" s="50"/>
      <c r="G59" s="50"/>
      <c r="H59" s="50"/>
      <c r="I59" s="50"/>
      <c r="J59" s="50"/>
      <c r="K59" s="50"/>
      <c r="L59" s="50"/>
      <c r="M59" s="50"/>
      <c r="N59" s="50"/>
    </row>
    <row r="60" spans="2:14" ht="15" customHeight="1" x14ac:dyDescent="0.2">
      <c r="B60" s="41"/>
      <c r="C60" s="39"/>
      <c r="D60" s="39"/>
      <c r="E60" s="49"/>
      <c r="F60" s="50"/>
      <c r="G60" s="50"/>
      <c r="H60" s="50"/>
      <c r="I60" s="50"/>
      <c r="J60" s="50"/>
      <c r="K60" s="50"/>
      <c r="L60" s="50"/>
      <c r="M60" s="50"/>
      <c r="N60" s="50"/>
    </row>
    <row r="61" spans="2:14" ht="15" customHeight="1" x14ac:dyDescent="0.2">
      <c r="B61" s="41"/>
      <c r="C61" s="39"/>
      <c r="D61" s="39"/>
      <c r="E61" s="49"/>
      <c r="F61" s="50"/>
      <c r="G61" s="50"/>
      <c r="H61" s="50"/>
      <c r="I61" s="50"/>
      <c r="J61" s="50"/>
      <c r="K61" s="50"/>
      <c r="L61" s="50"/>
      <c r="M61" s="50"/>
      <c r="N61" s="50"/>
    </row>
    <row r="62" spans="2:14" ht="15" customHeight="1" x14ac:dyDescent="0.2">
      <c r="B62" s="41"/>
      <c r="C62" s="39"/>
      <c r="D62" s="39"/>
      <c r="E62" s="49"/>
      <c r="F62" s="50"/>
      <c r="G62" s="50"/>
      <c r="H62" s="50"/>
      <c r="I62" s="50"/>
      <c r="J62" s="50"/>
      <c r="K62" s="50"/>
      <c r="L62" s="50"/>
      <c r="M62" s="50"/>
      <c r="N62" s="50"/>
    </row>
    <row r="63" spans="2:14" ht="15" customHeight="1" x14ac:dyDescent="0.2">
      <c r="B63" s="41"/>
      <c r="C63" s="39"/>
      <c r="D63" s="39"/>
      <c r="E63" s="49"/>
      <c r="F63" s="50"/>
      <c r="G63" s="50"/>
      <c r="H63" s="50"/>
      <c r="I63" s="50"/>
      <c r="J63" s="50"/>
      <c r="K63" s="50"/>
      <c r="L63" s="50"/>
      <c r="M63" s="50"/>
      <c r="N63" s="50"/>
    </row>
    <row r="64" spans="2:14" ht="15" customHeight="1" x14ac:dyDescent="0.2">
      <c r="B64" s="42"/>
      <c r="C64" s="40"/>
      <c r="D64" s="40"/>
      <c r="E64" s="52"/>
      <c r="F64" s="53"/>
      <c r="G64" s="53"/>
      <c r="H64" s="53"/>
      <c r="I64" s="53"/>
      <c r="J64" s="53"/>
      <c r="K64" s="53"/>
      <c r="L64" s="53"/>
      <c r="M64" s="53"/>
      <c r="N64" s="53"/>
    </row>
    <row r="65" spans="1:34" ht="15" customHeight="1" x14ac:dyDescent="0.2">
      <c r="E65" s="7"/>
      <c r="F65" s="7"/>
      <c r="G65" s="7"/>
      <c r="H65" s="7"/>
      <c r="I65" s="7"/>
      <c r="J65" s="7"/>
      <c r="K65" s="7"/>
      <c r="L65" s="7"/>
      <c r="M65" s="7"/>
      <c r="N65" s="7"/>
    </row>
    <row r="66" spans="1:34" ht="17.25" customHeight="1" x14ac:dyDescent="0.2">
      <c r="B66" s="6" t="s">
        <v>32</v>
      </c>
      <c r="C66" s="6"/>
      <c r="D66" s="6"/>
      <c r="E66" s="10" t="s">
        <v>4</v>
      </c>
      <c r="F66" s="176" t="str">
        <f>C3</f>
        <v>PUD #1 OF BENTON COUNTY</v>
      </c>
      <c r="G66" s="177"/>
      <c r="H66" s="178"/>
    </row>
    <row r="67" spans="1:34" ht="15" customHeight="1" x14ac:dyDescent="0.2">
      <c r="E67" s="10" t="s">
        <v>13</v>
      </c>
      <c r="F67" s="179">
        <v>2014</v>
      </c>
      <c r="G67" s="180"/>
      <c r="H67" s="181"/>
    </row>
    <row r="68" spans="1:34" ht="15" customHeight="1" x14ac:dyDescent="0.2">
      <c r="B68" s="10"/>
      <c r="C68" s="10"/>
      <c r="D68" s="10"/>
      <c r="E68" s="8"/>
      <c r="H68" s="26"/>
      <c r="I68" s="7"/>
    </row>
    <row r="69" spans="1:34" s="7" customFormat="1" ht="16.5" customHeight="1" x14ac:dyDescent="0.2">
      <c r="B69" s="6"/>
      <c r="C69" s="6"/>
      <c r="D69" s="6"/>
      <c r="E69" s="33" t="s">
        <v>14</v>
      </c>
      <c r="F69" s="31" t="s">
        <v>15</v>
      </c>
      <c r="G69" s="31" t="s">
        <v>16</v>
      </c>
      <c r="H69" s="31" t="s">
        <v>17</v>
      </c>
      <c r="I69" s="31" t="s">
        <v>18</v>
      </c>
      <c r="J69" s="31" t="s">
        <v>19</v>
      </c>
      <c r="K69" s="31" t="s">
        <v>20</v>
      </c>
      <c r="L69" s="31" t="s">
        <v>21</v>
      </c>
      <c r="M69" s="32" t="s">
        <v>22</v>
      </c>
      <c r="N69" s="32" t="s">
        <v>85</v>
      </c>
      <c r="O69" s="32" t="s">
        <v>86</v>
      </c>
      <c r="AH69" s="1"/>
    </row>
    <row r="70" spans="1:34" s="11" customFormat="1" ht="36" x14ac:dyDescent="0.2">
      <c r="B70" s="153"/>
      <c r="C70" s="154"/>
      <c r="D70" s="10"/>
      <c r="E70" s="27" t="s">
        <v>33</v>
      </c>
      <c r="F70" s="27" t="s">
        <v>24</v>
      </c>
      <c r="G70" s="27" t="s">
        <v>25</v>
      </c>
      <c r="H70" s="27" t="s">
        <v>26</v>
      </c>
      <c r="I70" s="27" t="s">
        <v>27</v>
      </c>
      <c r="J70" s="27" t="s">
        <v>41</v>
      </c>
      <c r="K70" s="27" t="s">
        <v>28</v>
      </c>
      <c r="L70" s="27" t="s">
        <v>29</v>
      </c>
      <c r="M70" s="27" t="s">
        <v>30</v>
      </c>
      <c r="N70" s="27" t="s">
        <v>34</v>
      </c>
      <c r="O70" s="27" t="s">
        <v>31</v>
      </c>
      <c r="AH70" s="7"/>
    </row>
    <row r="71" spans="1:34" ht="15" customHeight="1" x14ac:dyDescent="0.2">
      <c r="B71" s="76" t="s">
        <v>35</v>
      </c>
      <c r="C71" s="151" t="s">
        <v>61</v>
      </c>
      <c r="D71" s="151" t="s">
        <v>62</v>
      </c>
      <c r="E71" s="25" t="s">
        <v>7</v>
      </c>
      <c r="F71" s="25" t="s">
        <v>7</v>
      </c>
      <c r="G71" s="25" t="s">
        <v>7</v>
      </c>
      <c r="H71" s="25" t="s">
        <v>7</v>
      </c>
      <c r="I71" s="25" t="s">
        <v>7</v>
      </c>
      <c r="J71" s="25" t="s">
        <v>7</v>
      </c>
      <c r="K71" s="25" t="s">
        <v>7</v>
      </c>
      <c r="L71" s="25" t="s">
        <v>7</v>
      </c>
      <c r="M71" s="25" t="s">
        <v>7</v>
      </c>
      <c r="N71" s="25" t="s">
        <v>63</v>
      </c>
      <c r="O71" s="25" t="s">
        <v>63</v>
      </c>
      <c r="AH71" s="11"/>
    </row>
    <row r="72" spans="1:34" ht="15" customHeight="1" x14ac:dyDescent="0.2">
      <c r="A72" s="7"/>
      <c r="B72" s="144" t="s">
        <v>231</v>
      </c>
      <c r="C72" s="149" t="s">
        <v>223</v>
      </c>
      <c r="D72" s="150">
        <v>2013</v>
      </c>
      <c r="E72" s="55"/>
      <c r="F72" s="47">
        <f>17401+1516</f>
        <v>18917</v>
      </c>
      <c r="G72" s="47"/>
      <c r="H72" s="47"/>
      <c r="I72" s="47"/>
      <c r="J72" s="47"/>
      <c r="K72" s="47"/>
      <c r="L72" s="47"/>
      <c r="M72" s="47"/>
      <c r="N72" s="47"/>
      <c r="O72" s="48"/>
    </row>
    <row r="73" spans="1:34" ht="15" customHeight="1" x14ac:dyDescent="0.2">
      <c r="A73" s="7"/>
      <c r="B73" s="145" t="s">
        <v>232</v>
      </c>
      <c r="C73" s="148" t="s">
        <v>224</v>
      </c>
      <c r="D73" s="106">
        <v>2013</v>
      </c>
      <c r="E73" s="56"/>
      <c r="F73" s="50">
        <v>7604</v>
      </c>
      <c r="G73" s="50"/>
      <c r="H73" s="50"/>
      <c r="I73" s="50"/>
      <c r="J73" s="50"/>
      <c r="K73" s="50"/>
      <c r="L73" s="50"/>
      <c r="M73" s="50"/>
      <c r="N73" s="50"/>
      <c r="O73" s="51"/>
    </row>
    <row r="74" spans="1:34" ht="15" customHeight="1" x14ac:dyDescent="0.2">
      <c r="A74" s="7"/>
      <c r="B74" s="145" t="s">
        <v>233</v>
      </c>
      <c r="C74" s="148" t="s">
        <v>225</v>
      </c>
      <c r="D74" s="106">
        <v>2013</v>
      </c>
      <c r="E74" s="56"/>
      <c r="F74" s="50">
        <v>13604</v>
      </c>
      <c r="G74" s="50"/>
      <c r="H74" s="50"/>
      <c r="I74" s="50"/>
      <c r="J74" s="50"/>
      <c r="K74" s="50"/>
      <c r="L74" s="50"/>
      <c r="M74" s="50"/>
      <c r="N74" s="50"/>
      <c r="O74" s="51"/>
    </row>
    <row r="75" spans="1:34" ht="15" customHeight="1" x14ac:dyDescent="0.2">
      <c r="A75" s="7"/>
      <c r="B75" s="145" t="s">
        <v>234</v>
      </c>
      <c r="C75" s="148" t="s">
        <v>226</v>
      </c>
      <c r="D75" s="106">
        <v>2013</v>
      </c>
      <c r="E75" s="56"/>
      <c r="F75" s="50">
        <v>1044</v>
      </c>
      <c r="G75" s="50"/>
      <c r="H75" s="50"/>
      <c r="I75" s="50"/>
      <c r="J75" s="50"/>
      <c r="K75" s="50"/>
      <c r="L75" s="50"/>
      <c r="M75" s="50"/>
      <c r="N75" s="50"/>
      <c r="O75" s="51"/>
    </row>
    <row r="76" spans="1:34" ht="15" customHeight="1" x14ac:dyDescent="0.2">
      <c r="A76" s="7"/>
      <c r="B76" s="145" t="s">
        <v>235</v>
      </c>
      <c r="C76" s="148" t="s">
        <v>227</v>
      </c>
      <c r="D76" s="106">
        <v>2013</v>
      </c>
      <c r="E76" s="57"/>
      <c r="F76" s="50">
        <v>860</v>
      </c>
      <c r="G76" s="50"/>
      <c r="H76" s="50"/>
      <c r="I76" s="50"/>
      <c r="J76" s="50"/>
      <c r="K76" s="50"/>
      <c r="L76" s="50"/>
      <c r="M76" s="50"/>
      <c r="N76" s="50"/>
      <c r="O76" s="51"/>
    </row>
    <row r="77" spans="1:34" ht="15" hidden="1" customHeight="1" x14ac:dyDescent="0.2">
      <c r="A77" s="7"/>
      <c r="B77" s="145" t="s">
        <v>239</v>
      </c>
      <c r="C77" s="148" t="s">
        <v>240</v>
      </c>
      <c r="D77" s="106">
        <v>2013</v>
      </c>
      <c r="E77" s="57"/>
      <c r="F77" s="50"/>
      <c r="G77" s="50"/>
      <c r="H77" s="50"/>
      <c r="I77" s="50"/>
      <c r="J77" s="50"/>
      <c r="K77" s="50"/>
      <c r="L77" s="50"/>
      <c r="M77" s="50"/>
      <c r="N77" s="50"/>
      <c r="O77" s="51"/>
    </row>
    <row r="78" spans="1:34" ht="15" customHeight="1" x14ac:dyDescent="0.2">
      <c r="A78" s="7"/>
      <c r="B78" s="146" t="s">
        <v>236</v>
      </c>
      <c r="C78" s="148" t="s">
        <v>228</v>
      </c>
      <c r="D78" s="106">
        <v>2013</v>
      </c>
      <c r="E78" s="57"/>
      <c r="F78" s="50">
        <v>1197</v>
      </c>
      <c r="G78" s="50"/>
      <c r="H78" s="50"/>
      <c r="I78" s="50"/>
      <c r="J78" s="50"/>
      <c r="K78" s="50"/>
      <c r="L78" s="50"/>
      <c r="M78" s="50"/>
      <c r="N78" s="50"/>
      <c r="O78" s="51"/>
    </row>
    <row r="79" spans="1:34" ht="15" customHeight="1" x14ac:dyDescent="0.2">
      <c r="A79" s="7"/>
      <c r="B79" s="145" t="s">
        <v>237</v>
      </c>
      <c r="C79" s="148" t="s">
        <v>229</v>
      </c>
      <c r="D79" s="106">
        <v>2013</v>
      </c>
      <c r="E79" s="57"/>
      <c r="F79" s="50">
        <v>2978</v>
      </c>
      <c r="G79" s="50"/>
      <c r="H79" s="50"/>
      <c r="I79" s="50"/>
      <c r="J79" s="50"/>
      <c r="K79" s="50"/>
      <c r="L79" s="50"/>
      <c r="M79" s="50"/>
      <c r="N79" s="50"/>
      <c r="O79" s="51"/>
    </row>
    <row r="80" spans="1:34" ht="15" customHeight="1" x14ac:dyDescent="0.2">
      <c r="B80" s="147" t="s">
        <v>238</v>
      </c>
      <c r="C80" s="149" t="s">
        <v>230</v>
      </c>
      <c r="D80" s="106">
        <v>2013</v>
      </c>
      <c r="E80" s="57"/>
      <c r="F80" s="50">
        <v>3927</v>
      </c>
      <c r="G80" s="50"/>
      <c r="H80" s="50"/>
      <c r="I80" s="50"/>
      <c r="J80" s="50"/>
      <c r="K80" s="50"/>
      <c r="L80" s="50"/>
      <c r="M80" s="50"/>
      <c r="N80" s="50"/>
      <c r="O80" s="51"/>
    </row>
    <row r="81" spans="2:15" ht="15" customHeight="1" x14ac:dyDescent="0.2">
      <c r="B81" s="41"/>
      <c r="C81" s="41"/>
      <c r="D81" s="41"/>
      <c r="E81" s="57"/>
      <c r="F81" s="50"/>
      <c r="G81" s="50"/>
      <c r="H81" s="50"/>
      <c r="I81" s="50"/>
      <c r="J81" s="50"/>
      <c r="K81" s="50"/>
      <c r="L81" s="50"/>
      <c r="M81" s="50"/>
      <c r="N81" s="50"/>
      <c r="O81" s="51"/>
    </row>
    <row r="82" spans="2:15" ht="15" customHeight="1" x14ac:dyDescent="0.2">
      <c r="B82" s="41"/>
      <c r="C82" s="41"/>
      <c r="D82" s="41"/>
      <c r="E82" s="57"/>
      <c r="F82" s="50"/>
      <c r="G82" s="50"/>
      <c r="H82" s="50"/>
      <c r="I82" s="50"/>
      <c r="J82" s="50"/>
      <c r="K82" s="50"/>
      <c r="L82" s="50"/>
      <c r="M82" s="50"/>
      <c r="N82" s="50"/>
      <c r="O82" s="51"/>
    </row>
    <row r="83" spans="2:15" ht="15" customHeight="1" x14ac:dyDescent="0.2">
      <c r="B83" s="41"/>
      <c r="C83" s="41"/>
      <c r="D83" s="41"/>
      <c r="E83" s="57"/>
      <c r="F83" s="50"/>
      <c r="G83" s="50"/>
      <c r="H83" s="50"/>
      <c r="I83" s="50"/>
      <c r="J83" s="50"/>
      <c r="K83" s="50"/>
      <c r="L83" s="50"/>
      <c r="M83" s="50"/>
      <c r="N83" s="50"/>
      <c r="O83" s="51"/>
    </row>
    <row r="84" spans="2:15" ht="15" customHeight="1" x14ac:dyDescent="0.2">
      <c r="B84" s="41"/>
      <c r="C84" s="41"/>
      <c r="D84" s="41"/>
      <c r="E84" s="57"/>
      <c r="F84" s="50"/>
      <c r="G84" s="50"/>
      <c r="H84" s="50"/>
      <c r="I84" s="50"/>
      <c r="J84" s="50"/>
      <c r="K84" s="50"/>
      <c r="L84" s="50"/>
      <c r="M84" s="50"/>
      <c r="N84" s="50"/>
      <c r="O84" s="51"/>
    </row>
    <row r="85" spans="2:15" ht="15" customHeight="1" x14ac:dyDescent="0.2">
      <c r="B85" s="41"/>
      <c r="C85" s="41"/>
      <c r="D85" s="41"/>
      <c r="E85" s="57"/>
      <c r="F85" s="50"/>
      <c r="G85" s="50"/>
      <c r="H85" s="50"/>
      <c r="I85" s="50"/>
      <c r="J85" s="50"/>
      <c r="K85" s="50"/>
      <c r="L85" s="50"/>
      <c r="M85" s="50"/>
      <c r="N85" s="50"/>
      <c r="O85" s="51"/>
    </row>
    <row r="86" spans="2:15" ht="15" customHeight="1" x14ac:dyDescent="0.2">
      <c r="B86" s="41"/>
      <c r="C86" s="41"/>
      <c r="D86" s="41"/>
      <c r="E86" s="57"/>
      <c r="F86" s="50"/>
      <c r="G86" s="50"/>
      <c r="H86" s="50"/>
      <c r="I86" s="50"/>
      <c r="J86" s="50"/>
      <c r="K86" s="50"/>
      <c r="L86" s="50"/>
      <c r="M86" s="50"/>
      <c r="N86" s="50"/>
      <c r="O86" s="51"/>
    </row>
    <row r="87" spans="2:15" ht="15" customHeight="1" x14ac:dyDescent="0.2">
      <c r="B87" s="41"/>
      <c r="C87" s="41"/>
      <c r="D87" s="41"/>
      <c r="E87" s="57"/>
      <c r="F87" s="50"/>
      <c r="G87" s="50"/>
      <c r="H87" s="50"/>
      <c r="I87" s="50"/>
      <c r="J87" s="50"/>
      <c r="K87" s="50"/>
      <c r="L87" s="50"/>
      <c r="M87" s="50"/>
      <c r="N87" s="50"/>
      <c r="O87" s="51"/>
    </row>
    <row r="88" spans="2:15" ht="15" customHeight="1" x14ac:dyDescent="0.2">
      <c r="B88" s="41"/>
      <c r="C88" s="41"/>
      <c r="D88" s="41"/>
      <c r="E88" s="57"/>
      <c r="F88" s="50"/>
      <c r="G88" s="50"/>
      <c r="H88" s="50"/>
      <c r="I88" s="50"/>
      <c r="J88" s="50"/>
      <c r="K88" s="50"/>
      <c r="L88" s="50"/>
      <c r="M88" s="50"/>
      <c r="N88" s="50"/>
      <c r="O88" s="51"/>
    </row>
    <row r="89" spans="2:15" ht="15" customHeight="1" x14ac:dyDescent="0.2">
      <c r="B89" s="41"/>
      <c r="C89" s="41"/>
      <c r="D89" s="41"/>
      <c r="E89" s="57"/>
      <c r="F89" s="50"/>
      <c r="G89" s="50"/>
      <c r="H89" s="50"/>
      <c r="I89" s="50"/>
      <c r="J89" s="50"/>
      <c r="K89" s="50"/>
      <c r="L89" s="50"/>
      <c r="M89" s="50"/>
      <c r="N89" s="50"/>
      <c r="O89" s="51"/>
    </row>
    <row r="90" spans="2:15" ht="15" customHeight="1" x14ac:dyDescent="0.2">
      <c r="B90" s="41"/>
      <c r="C90" s="41"/>
      <c r="D90" s="41"/>
      <c r="E90" s="57"/>
      <c r="F90" s="50"/>
      <c r="G90" s="50"/>
      <c r="H90" s="50"/>
      <c r="I90" s="50"/>
      <c r="J90" s="50"/>
      <c r="K90" s="50"/>
      <c r="L90" s="50"/>
      <c r="M90" s="50"/>
      <c r="N90" s="50"/>
      <c r="O90" s="51"/>
    </row>
    <row r="91" spans="2:15" ht="15" customHeight="1" x14ac:dyDescent="0.2">
      <c r="B91" s="41"/>
      <c r="C91" s="41"/>
      <c r="D91" s="41"/>
      <c r="E91" s="57"/>
      <c r="F91" s="50"/>
      <c r="G91" s="50"/>
      <c r="H91" s="50"/>
      <c r="I91" s="50"/>
      <c r="J91" s="50"/>
      <c r="K91" s="50"/>
      <c r="L91" s="50"/>
      <c r="M91" s="50"/>
      <c r="N91" s="50"/>
      <c r="O91" s="51"/>
    </row>
    <row r="92" spans="2:15" ht="15" customHeight="1" x14ac:dyDescent="0.2">
      <c r="B92" s="41"/>
      <c r="C92" s="41"/>
      <c r="D92" s="41"/>
      <c r="E92" s="57"/>
      <c r="F92" s="50"/>
      <c r="G92" s="50"/>
      <c r="H92" s="50"/>
      <c r="I92" s="50"/>
      <c r="J92" s="50"/>
      <c r="K92" s="50"/>
      <c r="L92" s="50"/>
      <c r="M92" s="50"/>
      <c r="N92" s="50"/>
      <c r="O92" s="51"/>
    </row>
    <row r="93" spans="2:15" ht="15" customHeight="1" x14ac:dyDescent="0.2">
      <c r="B93" s="41"/>
      <c r="C93" s="41"/>
      <c r="D93" s="41"/>
      <c r="E93" s="57"/>
      <c r="F93" s="50"/>
      <c r="G93" s="50"/>
      <c r="H93" s="50"/>
      <c r="I93" s="50"/>
      <c r="J93" s="50"/>
      <c r="K93" s="50"/>
      <c r="L93" s="50"/>
      <c r="M93" s="50"/>
      <c r="N93" s="50"/>
      <c r="O93" s="51"/>
    </row>
    <row r="94" spans="2:15" ht="15" customHeight="1" x14ac:dyDescent="0.2">
      <c r="B94" s="41"/>
      <c r="C94" s="41"/>
      <c r="D94" s="41"/>
      <c r="E94" s="57"/>
      <c r="F94" s="50"/>
      <c r="G94" s="50"/>
      <c r="H94" s="50"/>
      <c r="I94" s="50"/>
      <c r="J94" s="50"/>
      <c r="K94" s="50"/>
      <c r="L94" s="50"/>
      <c r="M94" s="50"/>
      <c r="N94" s="50"/>
      <c r="O94" s="51"/>
    </row>
    <row r="95" spans="2:15" ht="15" customHeight="1" x14ac:dyDescent="0.2">
      <c r="B95" s="41"/>
      <c r="C95" s="41"/>
      <c r="D95" s="41"/>
      <c r="E95" s="57"/>
      <c r="F95" s="50"/>
      <c r="G95" s="50"/>
      <c r="H95" s="50"/>
      <c r="I95" s="50"/>
      <c r="J95" s="50"/>
      <c r="K95" s="50"/>
      <c r="L95" s="50"/>
      <c r="M95" s="50"/>
      <c r="N95" s="50"/>
      <c r="O95" s="51"/>
    </row>
    <row r="96" spans="2:15" ht="15" customHeight="1" x14ac:dyDescent="0.2">
      <c r="B96" s="41"/>
      <c r="C96" s="41"/>
      <c r="D96" s="41"/>
      <c r="E96" s="57"/>
      <c r="F96" s="50"/>
      <c r="G96" s="50"/>
      <c r="H96" s="50"/>
      <c r="I96" s="50"/>
      <c r="J96" s="50"/>
      <c r="K96" s="50"/>
      <c r="L96" s="50"/>
      <c r="M96" s="50"/>
      <c r="N96" s="50"/>
      <c r="O96" s="51"/>
    </row>
    <row r="97" spans="2:34" ht="15" customHeight="1" x14ac:dyDescent="0.2">
      <c r="B97" s="42"/>
      <c r="C97" s="42"/>
      <c r="D97" s="42"/>
      <c r="E97" s="58"/>
      <c r="F97" s="53"/>
      <c r="G97" s="53"/>
      <c r="H97" s="53"/>
      <c r="I97" s="53"/>
      <c r="J97" s="53"/>
      <c r="K97" s="53"/>
      <c r="L97" s="53"/>
      <c r="M97" s="53"/>
      <c r="N97" s="53"/>
      <c r="O97" s="54"/>
    </row>
    <row r="98" spans="2:34" ht="15" customHeight="1" x14ac:dyDescent="0.2"/>
    <row r="99" spans="2:34" ht="15" customHeight="1" x14ac:dyDescent="0.2">
      <c r="B99" s="11"/>
      <c r="C99" s="11"/>
      <c r="D99" s="11"/>
      <c r="E99" s="10" t="s">
        <v>4</v>
      </c>
      <c r="F99" s="176" t="str">
        <f>C3</f>
        <v>PUD #1 OF BENTON COUNTY</v>
      </c>
      <c r="G99" s="177"/>
      <c r="H99" s="178"/>
    </row>
    <row r="100" spans="2:34" ht="15" customHeight="1" x14ac:dyDescent="0.2">
      <c r="E100" s="10" t="s">
        <v>49</v>
      </c>
      <c r="F100" s="179">
        <v>2014</v>
      </c>
      <c r="G100" s="180"/>
      <c r="H100" s="181"/>
    </row>
    <row r="101" spans="2:34" ht="15" customHeight="1" x14ac:dyDescent="0.2">
      <c r="B101" s="11" t="s">
        <v>77</v>
      </c>
      <c r="C101" s="11"/>
      <c r="D101" s="11"/>
      <c r="E101" s="10"/>
      <c r="F101" s="70"/>
    </row>
    <row r="102" spans="2:34" ht="15" customHeight="1" x14ac:dyDescent="0.2">
      <c r="B102" s="28"/>
      <c r="C102" s="28"/>
      <c r="D102" s="28"/>
      <c r="E102" s="28"/>
      <c r="F102" s="28"/>
      <c r="G102" s="28"/>
      <c r="H102" s="28"/>
      <c r="I102" s="28"/>
      <c r="J102" s="28"/>
      <c r="K102" s="28"/>
      <c r="L102" s="28"/>
      <c r="M102" s="28"/>
    </row>
    <row r="103" spans="2:34" ht="15" customHeight="1" x14ac:dyDescent="0.2">
      <c r="B103" s="28"/>
      <c r="C103" s="28"/>
      <c r="D103" s="28"/>
      <c r="E103" s="28"/>
      <c r="F103" s="28"/>
      <c r="G103" s="28"/>
      <c r="H103" s="28"/>
      <c r="I103" s="28"/>
      <c r="J103" s="28"/>
      <c r="K103" s="28"/>
      <c r="L103" s="28"/>
      <c r="M103" s="28"/>
    </row>
    <row r="104" spans="2:34" s="7" customFormat="1" ht="15" customHeight="1" x14ac:dyDescent="0.2">
      <c r="B104" s="28"/>
      <c r="C104" s="28"/>
      <c r="D104" s="28"/>
      <c r="E104" s="28"/>
      <c r="F104" s="28"/>
      <c r="G104" s="28"/>
      <c r="H104" s="28"/>
      <c r="I104" s="28"/>
      <c r="J104" s="28"/>
      <c r="K104" s="28"/>
      <c r="L104" s="28"/>
      <c r="M104" s="28"/>
      <c r="AH104" s="1"/>
    </row>
    <row r="105" spans="2:34" s="7" customFormat="1" ht="15" customHeight="1" x14ac:dyDescent="0.2">
      <c r="B105" s="28"/>
      <c r="C105" s="28"/>
      <c r="D105" s="28"/>
      <c r="E105" s="28"/>
      <c r="F105" s="28"/>
      <c r="G105" s="28"/>
      <c r="H105" s="28"/>
      <c r="I105" s="28"/>
      <c r="J105" s="28"/>
      <c r="K105" s="28"/>
      <c r="L105" s="28"/>
      <c r="M105" s="28"/>
    </row>
    <row r="106" spans="2:34" s="7" customFormat="1" x14ac:dyDescent="0.2">
      <c r="B106" s="28"/>
      <c r="C106" s="28"/>
      <c r="D106" s="28"/>
      <c r="E106" s="28"/>
      <c r="F106" s="28"/>
      <c r="G106" s="28"/>
      <c r="H106" s="28"/>
      <c r="I106" s="28"/>
      <c r="J106" s="28"/>
      <c r="K106" s="28"/>
      <c r="L106" s="28"/>
      <c r="M106" s="28"/>
    </row>
    <row r="107" spans="2:34" s="7" customFormat="1" x14ac:dyDescent="0.2">
      <c r="B107" s="28"/>
      <c r="C107" s="28"/>
      <c r="D107" s="28"/>
      <c r="E107" s="28"/>
      <c r="F107" s="28"/>
      <c r="G107" s="28"/>
      <c r="H107" s="28"/>
      <c r="I107" s="28"/>
      <c r="J107" s="28"/>
      <c r="K107" s="28"/>
      <c r="L107" s="28"/>
      <c r="M107" s="28"/>
    </row>
    <row r="108" spans="2:34" s="7" customFormat="1" x14ac:dyDescent="0.2">
      <c r="B108" s="28"/>
      <c r="C108" s="28"/>
      <c r="D108" s="28"/>
      <c r="E108" s="28"/>
      <c r="F108" s="28"/>
      <c r="G108" s="28"/>
      <c r="H108" s="28"/>
      <c r="I108" s="28"/>
      <c r="J108" s="28"/>
      <c r="K108" s="28"/>
      <c r="L108" s="28"/>
      <c r="M108" s="28"/>
    </row>
    <row r="109" spans="2:34" x14ac:dyDescent="0.2">
      <c r="B109" s="28"/>
      <c r="C109" s="28"/>
      <c r="D109" s="28"/>
      <c r="E109" s="28"/>
      <c r="F109" s="28"/>
      <c r="G109" s="28"/>
      <c r="H109" s="28"/>
      <c r="I109" s="28"/>
      <c r="J109" s="28"/>
      <c r="K109" s="28"/>
      <c r="L109" s="28"/>
      <c r="M109" s="28"/>
      <c r="AH109" s="7"/>
    </row>
    <row r="110" spans="2:34" x14ac:dyDescent="0.2">
      <c r="B110" s="28"/>
      <c r="C110" s="28"/>
      <c r="D110" s="28"/>
      <c r="E110" s="28"/>
      <c r="F110" s="28"/>
      <c r="G110" s="28"/>
      <c r="H110" s="28"/>
      <c r="I110" s="28"/>
      <c r="J110" s="28"/>
      <c r="K110" s="28"/>
      <c r="L110" s="28"/>
      <c r="M110" s="28"/>
    </row>
    <row r="111" spans="2:34" x14ac:dyDescent="0.2">
      <c r="B111" s="28"/>
      <c r="C111" s="28"/>
      <c r="D111" s="28"/>
      <c r="E111" s="28"/>
      <c r="F111" s="28"/>
      <c r="G111" s="28"/>
      <c r="H111" s="28"/>
      <c r="I111" s="28"/>
      <c r="J111" s="28"/>
      <c r="K111" s="28"/>
      <c r="L111" s="28"/>
      <c r="M111" s="28"/>
    </row>
    <row r="112" spans="2:34" x14ac:dyDescent="0.2">
      <c r="B112" s="28"/>
      <c r="C112" s="28"/>
      <c r="D112" s="28"/>
      <c r="E112" s="28"/>
      <c r="F112" s="28"/>
      <c r="G112" s="28"/>
      <c r="H112" s="28"/>
      <c r="I112" s="28"/>
      <c r="J112" s="28"/>
      <c r="K112" s="28"/>
      <c r="L112" s="28"/>
      <c r="M112" s="28"/>
    </row>
    <row r="113" spans="2:13" x14ac:dyDescent="0.2">
      <c r="B113" s="28"/>
      <c r="C113" s="28"/>
      <c r="D113" s="28"/>
      <c r="E113" s="28"/>
      <c r="F113" s="28"/>
      <c r="G113" s="28"/>
      <c r="H113" s="28"/>
      <c r="I113" s="28"/>
      <c r="J113" s="28"/>
      <c r="K113" s="28"/>
      <c r="L113" s="28"/>
      <c r="M113" s="28"/>
    </row>
    <row r="114" spans="2:13" x14ac:dyDescent="0.2">
      <c r="B114" s="28"/>
      <c r="C114" s="28"/>
      <c r="D114" s="28"/>
      <c r="E114" s="28"/>
      <c r="F114" s="28"/>
      <c r="G114" s="28"/>
      <c r="H114" s="28"/>
      <c r="I114" s="28"/>
      <c r="J114" s="28"/>
      <c r="K114" s="28"/>
      <c r="L114" s="28"/>
      <c r="M114" s="28"/>
    </row>
    <row r="115" spans="2:13" x14ac:dyDescent="0.2">
      <c r="B115" s="28"/>
      <c r="C115" s="28"/>
      <c r="D115" s="28"/>
      <c r="E115" s="28"/>
      <c r="F115" s="28"/>
      <c r="G115" s="28"/>
      <c r="H115" s="28"/>
      <c r="I115" s="28"/>
      <c r="J115" s="28"/>
      <c r="K115" s="28"/>
      <c r="L115" s="28"/>
      <c r="M115" s="28"/>
    </row>
    <row r="116" spans="2:13" x14ac:dyDescent="0.2">
      <c r="B116" s="2" t="s">
        <v>78</v>
      </c>
      <c r="C116" s="28"/>
      <c r="D116" s="28"/>
      <c r="E116" s="28"/>
      <c r="F116" s="28"/>
      <c r="G116" s="28"/>
      <c r="H116" s="28"/>
      <c r="I116" s="28"/>
      <c r="J116" s="28"/>
      <c r="K116" s="28"/>
      <c r="L116" s="28"/>
      <c r="M116" s="28"/>
    </row>
    <row r="117" spans="2:13" x14ac:dyDescent="0.2">
      <c r="B117" s="28"/>
      <c r="C117" s="28"/>
      <c r="D117" s="28"/>
      <c r="E117" s="28"/>
      <c r="F117" s="28"/>
      <c r="G117" s="28"/>
      <c r="H117" s="28"/>
      <c r="I117" s="28"/>
      <c r="J117" s="28"/>
      <c r="K117" s="28"/>
      <c r="L117" s="28"/>
      <c r="M117" s="28"/>
    </row>
    <row r="118" spans="2:13" x14ac:dyDescent="0.2">
      <c r="B118" s="28"/>
      <c r="C118" s="28"/>
      <c r="D118" s="28"/>
      <c r="E118" s="28"/>
      <c r="F118" s="28"/>
      <c r="G118" s="28"/>
      <c r="H118" s="28"/>
      <c r="I118" s="28"/>
      <c r="J118" s="28"/>
      <c r="K118" s="28"/>
      <c r="L118" s="28"/>
      <c r="M118" s="28"/>
    </row>
    <row r="119" spans="2:13" x14ac:dyDescent="0.2">
      <c r="B119" s="28"/>
      <c r="C119" s="28"/>
      <c r="D119" s="28"/>
      <c r="E119" s="28"/>
      <c r="F119" s="28"/>
      <c r="G119" s="28"/>
      <c r="H119" s="28"/>
      <c r="I119" s="28"/>
      <c r="J119" s="28"/>
      <c r="K119" s="28"/>
      <c r="L119" s="28"/>
      <c r="M119" s="28"/>
    </row>
    <row r="120" spans="2:13" x14ac:dyDescent="0.2">
      <c r="B120" s="28"/>
      <c r="C120" s="28"/>
      <c r="D120" s="28"/>
      <c r="E120" s="28"/>
      <c r="F120" s="28"/>
      <c r="G120" s="28"/>
      <c r="H120" s="28"/>
      <c r="I120" s="28"/>
      <c r="J120" s="28"/>
      <c r="K120" s="28"/>
      <c r="L120" s="28"/>
      <c r="M120" s="28"/>
    </row>
    <row r="121" spans="2:13" x14ac:dyDescent="0.2">
      <c r="B121" s="28"/>
      <c r="C121" s="28"/>
      <c r="D121" s="28"/>
      <c r="E121" s="28"/>
      <c r="F121" s="28"/>
      <c r="G121" s="28"/>
      <c r="H121" s="28"/>
      <c r="I121" s="28"/>
      <c r="J121" s="28"/>
      <c r="K121" s="28"/>
      <c r="L121" s="28"/>
      <c r="M121" s="28"/>
    </row>
    <row r="122" spans="2:13" x14ac:dyDescent="0.2">
      <c r="B122" s="28"/>
      <c r="C122" s="28"/>
      <c r="D122" s="28"/>
      <c r="E122" s="28"/>
      <c r="F122" s="28"/>
      <c r="G122" s="28"/>
      <c r="H122" s="28"/>
      <c r="I122" s="28"/>
      <c r="J122" s="28"/>
      <c r="K122" s="28"/>
      <c r="L122" s="28"/>
      <c r="M122" s="28"/>
    </row>
    <row r="123" spans="2:13" x14ac:dyDescent="0.2">
      <c r="B123" s="28"/>
      <c r="C123" s="28"/>
      <c r="D123" s="28"/>
      <c r="E123" s="28"/>
      <c r="F123" s="28"/>
      <c r="G123" s="28"/>
      <c r="H123" s="28"/>
      <c r="I123" s="28"/>
      <c r="J123" s="28"/>
      <c r="K123" s="28"/>
      <c r="L123" s="28"/>
      <c r="M123" s="28"/>
    </row>
    <row r="124" spans="2:13" x14ac:dyDescent="0.2">
      <c r="B124" s="28"/>
      <c r="C124" s="28"/>
      <c r="D124" s="28"/>
      <c r="E124" s="28"/>
      <c r="F124" s="28"/>
      <c r="G124" s="28"/>
      <c r="H124" s="28"/>
      <c r="I124" s="28"/>
      <c r="J124" s="28"/>
      <c r="K124" s="28"/>
      <c r="L124" s="28"/>
      <c r="M124" s="28"/>
    </row>
    <row r="125" spans="2:13" x14ac:dyDescent="0.2">
      <c r="B125" s="28"/>
      <c r="C125" s="28"/>
      <c r="D125" s="28"/>
      <c r="E125" s="28"/>
      <c r="F125" s="28"/>
      <c r="G125" s="28"/>
      <c r="H125" s="28"/>
      <c r="I125" s="28"/>
      <c r="J125" s="28"/>
      <c r="K125" s="28"/>
      <c r="L125" s="28"/>
      <c r="M125" s="28"/>
    </row>
    <row r="126" spans="2:13" x14ac:dyDescent="0.2">
      <c r="B126" s="28"/>
      <c r="C126" s="28"/>
      <c r="D126" s="28"/>
      <c r="E126" s="28"/>
      <c r="F126" s="28"/>
      <c r="G126" s="28"/>
      <c r="H126" s="28"/>
      <c r="I126" s="28"/>
      <c r="J126" s="28"/>
      <c r="K126" s="28"/>
      <c r="L126" s="28"/>
      <c r="M126" s="28"/>
    </row>
    <row r="127" spans="2:13" x14ac:dyDescent="0.2">
      <c r="B127" s="28"/>
      <c r="C127" s="28"/>
      <c r="D127" s="28"/>
      <c r="E127" s="28"/>
      <c r="F127" s="28"/>
      <c r="G127" s="28"/>
      <c r="H127" s="28"/>
      <c r="I127" s="28"/>
      <c r="J127" s="28"/>
      <c r="K127" s="28"/>
      <c r="L127" s="28"/>
      <c r="M127" s="28"/>
    </row>
    <row r="128" spans="2:13" x14ac:dyDescent="0.2">
      <c r="B128" s="28"/>
      <c r="C128" s="28"/>
      <c r="D128" s="28"/>
      <c r="E128" s="28"/>
      <c r="F128" s="28"/>
      <c r="G128" s="28"/>
      <c r="H128" s="28"/>
      <c r="I128" s="28"/>
      <c r="J128" s="28"/>
      <c r="K128" s="28"/>
      <c r="L128" s="28"/>
      <c r="M128" s="28"/>
    </row>
    <row r="129" spans="2:13" x14ac:dyDescent="0.2">
      <c r="B129" s="28"/>
      <c r="C129" s="28"/>
      <c r="D129" s="28"/>
      <c r="E129" s="28"/>
      <c r="F129" s="28"/>
      <c r="G129" s="28"/>
      <c r="H129" s="28"/>
      <c r="I129" s="28"/>
      <c r="J129" s="28"/>
      <c r="K129" s="28"/>
      <c r="L129" s="28"/>
      <c r="M129" s="28"/>
    </row>
    <row r="130" spans="2:13" x14ac:dyDescent="0.2">
      <c r="B130" s="28"/>
      <c r="C130" s="28"/>
      <c r="D130" s="28"/>
      <c r="E130" s="28"/>
      <c r="F130" s="28"/>
      <c r="G130" s="28"/>
      <c r="H130" s="28"/>
      <c r="I130" s="28"/>
      <c r="J130" s="28"/>
      <c r="K130" s="28"/>
      <c r="L130" s="28"/>
      <c r="M130" s="28"/>
    </row>
    <row r="131" spans="2:13" x14ac:dyDescent="0.2">
      <c r="B131" s="28"/>
      <c r="C131" s="28"/>
      <c r="D131" s="28"/>
      <c r="E131" s="28"/>
      <c r="F131" s="28"/>
      <c r="G131" s="28"/>
      <c r="H131" s="28"/>
      <c r="I131" s="28"/>
      <c r="J131" s="28"/>
      <c r="K131" s="28"/>
      <c r="L131" s="28"/>
      <c r="M131" s="28"/>
    </row>
    <row r="132" spans="2:13" x14ac:dyDescent="0.2">
      <c r="B132" s="28"/>
      <c r="C132" s="28"/>
      <c r="D132" s="28"/>
      <c r="E132" s="28"/>
      <c r="F132" s="28"/>
      <c r="G132" s="28"/>
      <c r="H132" s="28"/>
      <c r="I132" s="28"/>
      <c r="J132" s="28"/>
      <c r="K132" s="28"/>
      <c r="L132" s="28"/>
      <c r="M132" s="28"/>
    </row>
    <row r="133" spans="2:13" x14ac:dyDescent="0.2">
      <c r="B133" s="28"/>
      <c r="C133" s="28"/>
      <c r="D133" s="28"/>
      <c r="E133" s="28"/>
      <c r="F133" s="28"/>
      <c r="G133" s="28"/>
      <c r="H133" s="28"/>
      <c r="I133" s="28"/>
      <c r="J133" s="28"/>
      <c r="K133" s="28"/>
      <c r="L133" s="28"/>
      <c r="M133" s="28"/>
    </row>
    <row r="134" spans="2:13" x14ac:dyDescent="0.2">
      <c r="B134" s="28"/>
      <c r="C134" s="28"/>
      <c r="D134" s="28"/>
      <c r="E134" s="28"/>
      <c r="F134" s="28"/>
      <c r="G134" s="28"/>
      <c r="H134" s="28"/>
      <c r="I134" s="28"/>
      <c r="J134" s="28"/>
      <c r="K134" s="28"/>
      <c r="L134" s="28"/>
      <c r="M134" s="28"/>
    </row>
    <row r="135" spans="2:13" x14ac:dyDescent="0.2">
      <c r="B135" s="28"/>
      <c r="C135" s="28"/>
      <c r="D135" s="28"/>
      <c r="E135" s="28"/>
      <c r="F135" s="28"/>
      <c r="G135" s="28"/>
      <c r="H135" s="28"/>
      <c r="I135" s="28"/>
      <c r="J135" s="28"/>
      <c r="K135" s="28"/>
      <c r="L135" s="28"/>
      <c r="M135" s="28"/>
    </row>
    <row r="136" spans="2:13" x14ac:dyDescent="0.2">
      <c r="B136" s="28"/>
      <c r="C136" s="28"/>
      <c r="D136" s="28"/>
      <c r="E136" s="28"/>
      <c r="F136" s="28"/>
      <c r="G136" s="28"/>
      <c r="H136" s="28"/>
      <c r="I136" s="28"/>
      <c r="J136" s="28"/>
      <c r="K136" s="28"/>
      <c r="L136" s="28"/>
      <c r="M136" s="28"/>
    </row>
    <row r="137" spans="2:13" x14ac:dyDescent="0.2">
      <c r="B137" s="28"/>
      <c r="C137" s="28"/>
      <c r="D137" s="28"/>
      <c r="E137" s="28"/>
      <c r="F137" s="28"/>
      <c r="G137" s="28"/>
      <c r="H137" s="28"/>
      <c r="I137" s="28"/>
      <c r="J137" s="28"/>
      <c r="K137" s="28"/>
      <c r="L137" s="28"/>
      <c r="M137" s="28"/>
    </row>
  </sheetData>
  <mergeCells count="16">
    <mergeCell ref="I2:N2"/>
    <mergeCell ref="G10:N10"/>
    <mergeCell ref="C3:E3"/>
    <mergeCell ref="C4:E4"/>
    <mergeCell ref="C5:E5"/>
    <mergeCell ref="C6:E6"/>
    <mergeCell ref="C7:E7"/>
    <mergeCell ref="I14:M14"/>
    <mergeCell ref="F66:H66"/>
    <mergeCell ref="F67:H67"/>
    <mergeCell ref="F99:H99"/>
    <mergeCell ref="F100:H100"/>
    <mergeCell ref="F36:H36"/>
    <mergeCell ref="F37:H37"/>
    <mergeCell ref="B39:G39"/>
    <mergeCell ref="C43:D43"/>
  </mergeCells>
  <hyperlinks>
    <hyperlink ref="C7" r:id="rId1"/>
  </hyperlinks>
  <pageMargins left="0.7" right="0.7" top="0.75" bottom="0.75" header="0.3" footer="0.3"/>
  <pageSetup scale="66" fitToHeight="0" orientation="landscape" r:id="rId2"/>
  <rowBreaks count="3" manualBreakCount="3">
    <brk id="34" max="12" man="1"/>
    <brk id="64" max="12" man="1"/>
    <brk id="98" max="12" man="1"/>
  </rowBreaks>
  <drawing r:id="rId3"/>
  <legacyDrawing r:id="rId4"/>
  <mc:AlternateContent xmlns:mc="http://schemas.openxmlformats.org/markup-compatibility/2006">
    <mc:Choice Requires="x14">
      <controls>
        <mc:AlternateContent xmlns:mc="http://schemas.openxmlformats.org/markup-compatibility/2006">
          <mc:Choice Requires="x14">
            <control shapeId="5448" r:id="rId5" name="Check Box 328">
              <controlPr defaultSize="0" autoFill="0" autoLine="0" autoPict="0">
                <anchor moveWithCells="1" sizeWithCells="1">
                  <from>
                    <xdr:col>2</xdr:col>
                    <xdr:colOff>19050</xdr:colOff>
                    <xdr:row>8</xdr:row>
                    <xdr:rowOff>9525</xdr:rowOff>
                  </from>
                  <to>
                    <xdr:col>4</xdr:col>
                    <xdr:colOff>571500</xdr:colOff>
                    <xdr:row>9</xdr:row>
                    <xdr:rowOff>19050</xdr:rowOff>
                  </to>
                </anchor>
              </controlPr>
            </control>
          </mc:Choice>
        </mc:AlternateContent>
        <mc:AlternateContent xmlns:mc="http://schemas.openxmlformats.org/markup-compatibility/2006">
          <mc:Choice Requires="x14">
            <control shapeId="5449" r:id="rId6" name="Check Box 329">
              <controlPr defaultSize="0" autoFill="0" autoLine="0" autoPict="0">
                <anchor moveWithCells="1" sizeWithCells="1">
                  <from>
                    <xdr:col>2</xdr:col>
                    <xdr:colOff>19050</xdr:colOff>
                    <xdr:row>9</xdr:row>
                    <xdr:rowOff>28575</xdr:rowOff>
                  </from>
                  <to>
                    <xdr:col>5</xdr:col>
                    <xdr:colOff>0</xdr:colOff>
                    <xdr:row>10</xdr:row>
                    <xdr:rowOff>28575</xdr:rowOff>
                  </to>
                </anchor>
              </controlPr>
            </control>
          </mc:Choice>
        </mc:AlternateContent>
        <mc:AlternateContent xmlns:mc="http://schemas.openxmlformats.org/markup-compatibility/2006">
          <mc:Choice Requires="x14">
            <control shapeId="5450" r:id="rId7" name="Check Box 330">
              <controlPr defaultSize="0" autoFill="0" autoLine="0" autoPict="0">
                <anchor moveWithCells="1" sizeWithCells="1">
                  <from>
                    <xdr:col>2</xdr:col>
                    <xdr:colOff>19050</xdr:colOff>
                    <xdr:row>10</xdr:row>
                    <xdr:rowOff>66675</xdr:rowOff>
                  </from>
                  <to>
                    <xdr:col>5</xdr:col>
                    <xdr:colOff>114300</xdr:colOff>
                    <xdr:row>11</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2"/>
  <sheetViews>
    <sheetView workbookViewId="0">
      <selection activeCell="B8" sqref="B8"/>
    </sheetView>
  </sheetViews>
  <sheetFormatPr defaultRowHeight="15" x14ac:dyDescent="0.25"/>
  <cols>
    <col min="1" max="1" width="36.140625" bestFit="1" customWidth="1"/>
  </cols>
  <sheetData>
    <row r="1" spans="1:84" x14ac:dyDescent="0.25">
      <c r="B1" t="s">
        <v>87</v>
      </c>
      <c r="C1" t="s">
        <v>88</v>
      </c>
      <c r="D1" t="s">
        <v>89</v>
      </c>
      <c r="E1" t="s">
        <v>90</v>
      </c>
      <c r="F1" t="s">
        <v>91</v>
      </c>
      <c r="G1" t="s">
        <v>92</v>
      </c>
      <c r="H1" t="s">
        <v>93</v>
      </c>
      <c r="I1" t="s">
        <v>94</v>
      </c>
      <c r="J1" t="s">
        <v>95</v>
      </c>
      <c r="K1" t="s">
        <v>96</v>
      </c>
      <c r="L1" t="s">
        <v>97</v>
      </c>
      <c r="M1" t="s">
        <v>98</v>
      </c>
      <c r="N1" t="s">
        <v>99</v>
      </c>
      <c r="O1" t="s">
        <v>100</v>
      </c>
      <c r="P1" t="s">
        <v>101</v>
      </c>
      <c r="Q1" t="s">
        <v>102</v>
      </c>
      <c r="R1" t="s">
        <v>103</v>
      </c>
      <c r="S1" t="s">
        <v>104</v>
      </c>
      <c r="T1" t="s">
        <v>105</v>
      </c>
      <c r="U1" t="s">
        <v>106</v>
      </c>
      <c r="V1" t="s">
        <v>107</v>
      </c>
      <c r="W1" t="s">
        <v>108</v>
      </c>
      <c r="X1" t="s">
        <v>109</v>
      </c>
      <c r="Y1" t="s">
        <v>110</v>
      </c>
      <c r="Z1" t="s">
        <v>111</v>
      </c>
      <c r="AA1" t="s">
        <v>112</v>
      </c>
      <c r="AB1" t="s">
        <v>113</v>
      </c>
      <c r="AC1" t="s">
        <v>114</v>
      </c>
      <c r="AD1" t="s">
        <v>115</v>
      </c>
      <c r="AE1" t="s">
        <v>116</v>
      </c>
      <c r="AF1" t="s">
        <v>117</v>
      </c>
      <c r="AG1" t="s">
        <v>118</v>
      </c>
      <c r="AH1" t="s">
        <v>119</v>
      </c>
      <c r="AI1" t="s">
        <v>120</v>
      </c>
      <c r="AJ1" t="s">
        <v>121</v>
      </c>
      <c r="AK1" t="s">
        <v>122</v>
      </c>
      <c r="AL1" t="s">
        <v>123</v>
      </c>
      <c r="AM1" t="s">
        <v>124</v>
      </c>
      <c r="AN1" t="s">
        <v>125</v>
      </c>
      <c r="AO1" t="s">
        <v>126</v>
      </c>
      <c r="AP1" t="s">
        <v>127</v>
      </c>
      <c r="AQ1" t="s">
        <v>128</v>
      </c>
      <c r="AR1" t="s">
        <v>129</v>
      </c>
      <c r="AS1" t="s">
        <v>130</v>
      </c>
      <c r="AT1" t="s">
        <v>131</v>
      </c>
      <c r="AU1" t="s">
        <v>132</v>
      </c>
      <c r="AV1" t="s">
        <v>133</v>
      </c>
      <c r="AW1" t="s">
        <v>140</v>
      </c>
      <c r="AX1" t="s">
        <v>141</v>
      </c>
      <c r="AY1" t="s">
        <v>134</v>
      </c>
      <c r="AZ1" t="s">
        <v>142</v>
      </c>
      <c r="BA1" t="s">
        <v>143</v>
      </c>
      <c r="BB1" t="s">
        <v>135</v>
      </c>
      <c r="BC1" t="s">
        <v>136</v>
      </c>
      <c r="BD1" t="s">
        <v>137</v>
      </c>
      <c r="BE1" t="s">
        <v>144</v>
      </c>
      <c r="BF1" t="s">
        <v>145</v>
      </c>
      <c r="BG1" t="s">
        <v>146</v>
      </c>
      <c r="BH1" t="s">
        <v>147</v>
      </c>
      <c r="BI1" t="s">
        <v>148</v>
      </c>
      <c r="BJ1" t="s">
        <v>149</v>
      </c>
      <c r="BK1" t="s">
        <v>150</v>
      </c>
      <c r="BL1" t="s">
        <v>151</v>
      </c>
      <c r="BM1" t="s">
        <v>152</v>
      </c>
      <c r="BN1" t="s">
        <v>153</v>
      </c>
      <c r="BO1" t="s">
        <v>169</v>
      </c>
      <c r="BP1" t="s">
        <v>170</v>
      </c>
      <c r="BQ1" t="s">
        <v>154</v>
      </c>
      <c r="BR1" t="s">
        <v>155</v>
      </c>
      <c r="BS1" t="s">
        <v>156</v>
      </c>
      <c r="BT1" t="s">
        <v>157</v>
      </c>
      <c r="BU1" t="s">
        <v>158</v>
      </c>
      <c r="BV1" t="s">
        <v>159</v>
      </c>
      <c r="BW1" t="s">
        <v>160</v>
      </c>
      <c r="BX1" t="s">
        <v>161</v>
      </c>
      <c r="BY1" t="s">
        <v>162</v>
      </c>
      <c r="BZ1" t="s">
        <v>163</v>
      </c>
      <c r="CA1" t="s">
        <v>164</v>
      </c>
      <c r="CB1" t="s">
        <v>165</v>
      </c>
      <c r="CC1" t="s">
        <v>171</v>
      </c>
      <c r="CD1" t="s">
        <v>138</v>
      </c>
      <c r="CE1" t="s">
        <v>173</v>
      </c>
      <c r="CF1" t="s">
        <v>139</v>
      </c>
    </row>
    <row r="2" spans="1:84" x14ac:dyDescent="0.25">
      <c r="A2" t="str">
        <f>REN_Utility_Name</f>
        <v>PUD #1 OF BENTON COUNTY</v>
      </c>
      <c r="B2">
        <f>REN_Total_2014</f>
        <v>50131</v>
      </c>
      <c r="C2">
        <f>CON_2012_Agriculture_MWH</f>
        <v>0</v>
      </c>
      <c r="D2">
        <f>CON_2012_Commercial_Expend</f>
        <v>1137145.44</v>
      </c>
      <c r="E2">
        <f>CON_2012_Commercial_MWH</f>
        <v>4689.7555700000003</v>
      </c>
      <c r="F2">
        <f>CON_2012_Distribution_Expend</f>
        <v>0</v>
      </c>
      <c r="G2">
        <f>CON_2012_Distribution_MWH</f>
        <v>0</v>
      </c>
      <c r="H2">
        <f>CON_2012_Expenditures</f>
        <v>3641969.0300000003</v>
      </c>
      <c r="I2">
        <f>CON_2012_Industrial_Expend</f>
        <v>859838.42</v>
      </c>
      <c r="J2">
        <f>CON_2012_Industrial_MWH</f>
        <v>3915.5684500000002</v>
      </c>
      <c r="K2">
        <f>CON_2012_MWH</f>
        <v>16289.44929</v>
      </c>
      <c r="L2">
        <f>CON_2012_NEEA_Expend</f>
        <v>0</v>
      </c>
      <c r="M2">
        <f>CON_2012_NEEA_MWH</f>
        <v>4250.7380000000003</v>
      </c>
      <c r="N2">
        <f>CON_2012_OtherSector1_Expend</f>
        <v>50808.2</v>
      </c>
      <c r="O2">
        <f>CON_2012_OtherSector1_MWH</f>
        <v>383.73523999999998</v>
      </c>
      <c r="P2">
        <f>CON_2012_OtherSector2_Expend</f>
        <v>0</v>
      </c>
      <c r="Q2">
        <f>CON_2012_OtherSector2_MWH</f>
        <v>62.776000000000003</v>
      </c>
      <c r="R2">
        <f>CON_2012_Production_Expend</f>
        <v>323174.34999999998</v>
      </c>
      <c r="S2">
        <f>CON_2012_Production_MWH</f>
        <v>0</v>
      </c>
      <c r="T2">
        <f>CON_2012_Program1_Expend</f>
        <v>0</v>
      </c>
      <c r="U2">
        <f>CON_2012_Program2_Expend</f>
        <v>0</v>
      </c>
      <c r="V2">
        <f>CON_2012_Residential_Expend</f>
        <v>1271002.6200000001</v>
      </c>
      <c r="W2">
        <f>CON_2012_Residential_MWH</f>
        <v>2986.8760299999999</v>
      </c>
      <c r="X2">
        <f>CON_2013_Agriculture_Expend</f>
        <v>0</v>
      </c>
      <c r="Y2">
        <f>CON_2013_Agriculture_MWH</f>
        <v>0</v>
      </c>
      <c r="Z2">
        <f>CON_2013_Commercial_Expend</f>
        <v>309044.7</v>
      </c>
      <c r="AA2">
        <f>CON_2013_Commercial_MWH</f>
        <v>894.9955799999999</v>
      </c>
      <c r="AB2">
        <f>CON_2013_Distribution_Expend</f>
        <v>0</v>
      </c>
      <c r="AC2">
        <f>CON_2013_Distribution_MWH</f>
        <v>0</v>
      </c>
      <c r="AD2">
        <f>CON_2013_Expenditures</f>
        <v>2351996.14</v>
      </c>
      <c r="AE2">
        <f>CON_2013_Industrial_Expend</f>
        <v>43742.8</v>
      </c>
      <c r="AF2">
        <f>CON_2013_Industrial_MWH</f>
        <v>789.29645999999991</v>
      </c>
      <c r="AG2">
        <f>CON_2013_MWH</f>
        <v>16694.39184</v>
      </c>
      <c r="AH2">
        <f>CON_2013_NEEA_Expend</f>
        <v>0</v>
      </c>
      <c r="AI2">
        <f>CON_2013_NEEA_MWH</f>
        <v>5796.3850000000002</v>
      </c>
      <c r="AJ2">
        <f>CON_2013_OtherSector1_Expend</f>
        <v>143608.76999999999</v>
      </c>
      <c r="AK2">
        <f>CON_2013_OtherSector1_MWH</f>
        <v>1193.97354</v>
      </c>
      <c r="AL2">
        <f>CON_2013_OtherSector2_Expend</f>
        <v>0</v>
      </c>
      <c r="AM2">
        <f>CON_2013_OtherSector2_MWH</f>
        <v>78.108999999999995</v>
      </c>
      <c r="AN2">
        <f>CON_2013_Production_Expend</f>
        <v>382618.89999999997</v>
      </c>
      <c r="AO2">
        <f>CON_2013_Production_MWH</f>
        <v>2113.877</v>
      </c>
      <c r="AP2">
        <f>CON_2013_Program1_Expend</f>
        <v>0</v>
      </c>
      <c r="AQ2">
        <f>CON_2013_Program2_Expend</f>
        <v>0</v>
      </c>
      <c r="AR2">
        <f>CON_2013_Residential_Expend</f>
        <v>1472980.97</v>
      </c>
      <c r="AS2">
        <f>CON_2013_Residential_MWH</f>
        <v>5827.7552599999999</v>
      </c>
      <c r="AT2" t="str">
        <f>CON_Contact_Name</f>
        <v>Mike Murray/Power Management</v>
      </c>
      <c r="AU2" t="str">
        <f>CON_Email</f>
        <v>murraym@bentonpud.org</v>
      </c>
      <c r="AV2" t="str">
        <f>CON_Phone</f>
        <v>(509)585-5362</v>
      </c>
      <c r="AW2">
        <f>CON_Potential_2012_2021</f>
        <v>169418.4</v>
      </c>
      <c r="AX2">
        <f>CON_Potential_2014_2023</f>
        <v>135867.6</v>
      </c>
      <c r="AY2" t="str">
        <f>CON_Report_Date</f>
        <v>June 1, 2014</v>
      </c>
      <c r="AZ2">
        <f>CON_Target_2012_2013</f>
        <v>26980.799999999999</v>
      </c>
      <c r="BA2">
        <f>CON_Target_2014_2015</f>
        <v>23739.599999999999</v>
      </c>
      <c r="BB2" t="str">
        <f>CON_Utility_Name</f>
        <v>PUD #1 OF BENTON COUNTY</v>
      </c>
      <c r="BC2" t="str">
        <f>REN_Contact_Name</f>
        <v>Mike Murray/Power Management</v>
      </c>
      <c r="BD2" t="str">
        <f>REN_Email</f>
        <v>murraym@bentonpud.org</v>
      </c>
      <c r="BE2">
        <f>REN_ERR_ApprenticeLabor</f>
        <v>0</v>
      </c>
      <c r="BF2">
        <f>REN_ERR_Biodiesel</f>
        <v>0</v>
      </c>
      <c r="BG2">
        <f>REN_ERR_Biomass</f>
        <v>0</v>
      </c>
      <c r="BH2">
        <f>REN_ERR_Geothermal</f>
        <v>0</v>
      </c>
      <c r="BI2">
        <f>REN_ERR_LandfillGas</f>
        <v>0</v>
      </c>
      <c r="BJ2">
        <f>REN_ERR_SewageGas</f>
        <v>0</v>
      </c>
      <c r="BK2">
        <f>REN_ERR_Solar</f>
        <v>0</v>
      </c>
      <c r="BL2">
        <f>REN_ERR_Water</f>
        <v>0</v>
      </c>
      <c r="BM2">
        <f>REN_ERR_Wind</f>
        <v>0</v>
      </c>
      <c r="BN2">
        <f>REN_ERR_WOT</f>
        <v>0</v>
      </c>
      <c r="BO2">
        <f>REN_Expenditure_Amount_2014</f>
        <v>2881391.6994687845</v>
      </c>
      <c r="BP2">
        <f>REN_Expenditure_Percent_2014</f>
        <v>2.4748761634749695E-2</v>
      </c>
      <c r="BQ2">
        <f>REN_Load_2012</f>
        <v>1645277</v>
      </c>
      <c r="BR2">
        <f>REN_Load_2013</f>
        <v>1696774</v>
      </c>
      <c r="BS2">
        <f>REN_REC_ApprenticeLabor</f>
        <v>0</v>
      </c>
      <c r="BT2">
        <f>REN_REC_Biodiesel</f>
        <v>0</v>
      </c>
      <c r="BU2">
        <f>REN_REC_Biomass</f>
        <v>0</v>
      </c>
      <c r="BV2">
        <f>REN_REC_DistributedGeneration</f>
        <v>0</v>
      </c>
      <c r="BW2">
        <f>REN_REC_Geothermal</f>
        <v>0</v>
      </c>
      <c r="BX2">
        <f>REN_REC_LandfillGas</f>
        <v>0</v>
      </c>
      <c r="BY2">
        <f>REN_REC_SewageGas</f>
        <v>0</v>
      </c>
      <c r="BZ2">
        <f>REN_REC_Solar</f>
        <v>0</v>
      </c>
      <c r="CA2">
        <f>REN_REC_Wind</f>
        <v>50131</v>
      </c>
      <c r="CB2">
        <f>REN_REC_WOT</f>
        <v>0</v>
      </c>
      <c r="CC2">
        <f>REN_RetailRevenueRequirement_2014</f>
        <v>116425692</v>
      </c>
      <c r="CD2" t="str">
        <f>REN_Submittal_Date</f>
        <v>June 1, 2014 (revised 8/26/14)</v>
      </c>
      <c r="CE2">
        <f>REN_Total_2014</f>
        <v>50131</v>
      </c>
      <c r="CF2" t="str">
        <f>REN_Utility_Name</f>
        <v>PUD #1 OF BENTON COUNTY</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85</vt:i4>
      </vt:variant>
    </vt:vector>
  </HeadingPairs>
  <TitlesOfParts>
    <vt:vector size="90" baseType="lpstr">
      <vt:lpstr>Instructions - 2014</vt:lpstr>
      <vt:lpstr>Instructions - Revise 2012</vt:lpstr>
      <vt:lpstr>Conservation Report</vt:lpstr>
      <vt:lpstr>Renewables Report</vt:lpstr>
      <vt:lpstr>Data</vt:lpstr>
      <vt:lpstr>CON_2012_Agriculture_Expend</vt:lpstr>
      <vt:lpstr>CON_2012_Agriculture_MWH</vt:lpstr>
      <vt:lpstr>CON_2012_Commercial_Expend</vt:lpstr>
      <vt:lpstr>CON_2012_Commercial_MWH</vt:lpstr>
      <vt:lpstr>CON_2012_Distribution_Expend</vt:lpstr>
      <vt:lpstr>CON_2012_Distribution_MWH</vt:lpstr>
      <vt:lpstr>CON_2012_Expenditures</vt:lpstr>
      <vt:lpstr>CON_2012_Industrial_Expend</vt:lpstr>
      <vt:lpstr>CON_2012_Industrial_MWH</vt:lpstr>
      <vt:lpstr>CON_2012_MWH</vt:lpstr>
      <vt:lpstr>CON_2012_NEEA_Expend</vt:lpstr>
      <vt:lpstr>CON_2012_NEEA_MWH</vt:lpstr>
      <vt:lpstr>CON_2012_OtherSector1_Expend</vt:lpstr>
      <vt:lpstr>CON_2012_OtherSector1_MWH</vt:lpstr>
      <vt:lpstr>CON_2012_OtherSector2_Expend</vt:lpstr>
      <vt:lpstr>CON_2012_OtherSector2_MWH</vt:lpstr>
      <vt:lpstr>CON_2012_Production_Expend</vt:lpstr>
      <vt:lpstr>CON_2012_Production_MWH</vt:lpstr>
      <vt:lpstr>CON_2012_Program1_Expend</vt:lpstr>
      <vt:lpstr>CON_2012_Program2_Expend</vt:lpstr>
      <vt:lpstr>CON_2012_Residential_Expend</vt:lpstr>
      <vt:lpstr>CON_2012_Residential_MWH</vt:lpstr>
      <vt:lpstr>CON_2013_Agriculture_Expend</vt:lpstr>
      <vt:lpstr>CON_2013_Agriculture_MWH</vt:lpstr>
      <vt:lpstr>CON_2013_Commercial_Expend</vt:lpstr>
      <vt:lpstr>CON_2013_Commercial_MWH</vt:lpstr>
      <vt:lpstr>CON_2013_Distribution_Expend</vt:lpstr>
      <vt:lpstr>CON_2013_Distribution_MWH</vt:lpstr>
      <vt:lpstr>CON_2013_Expenditures</vt:lpstr>
      <vt:lpstr>CON_2013_Industrial_Expend</vt:lpstr>
      <vt:lpstr>CON_2013_Industrial_MWH</vt:lpstr>
      <vt:lpstr>CON_2013_MWH</vt:lpstr>
      <vt:lpstr>CON_2013_NEEA_Expend</vt:lpstr>
      <vt:lpstr>CON_2013_NEEA_MWH</vt:lpstr>
      <vt:lpstr>CON_2013_OtherSector1_Expend</vt:lpstr>
      <vt:lpstr>CON_2013_OtherSector1_MWH</vt:lpstr>
      <vt:lpstr>CON_2013_OtherSector2_Expend</vt:lpstr>
      <vt:lpstr>CON_2013_OtherSector2_MWH</vt:lpstr>
      <vt:lpstr>CON_2013_Production_Expend</vt:lpstr>
      <vt:lpstr>CON_2013_Production_MWH</vt:lpstr>
      <vt:lpstr>CON_2013_Program1_Expend</vt:lpstr>
      <vt:lpstr>CON_2013_Program2_Expend</vt:lpstr>
      <vt:lpstr>CON_2013_Residential_Expend</vt:lpstr>
      <vt:lpstr>CON_2013_Residential_MWH</vt:lpstr>
      <vt:lpstr>CON_Contact_Name</vt:lpstr>
      <vt:lpstr>CON_Email</vt:lpstr>
      <vt:lpstr>CON_Phone</vt:lpstr>
      <vt:lpstr>CON_Potential_2012_2021</vt:lpstr>
      <vt:lpstr>CON_Potential_2014_2023</vt:lpstr>
      <vt:lpstr>CON_Report_Date</vt:lpstr>
      <vt:lpstr>CON_Target_2012_2013</vt:lpstr>
      <vt:lpstr>CON_Target_2014_2015</vt:lpstr>
      <vt:lpstr>CON_Utility_Name</vt:lpstr>
      <vt:lpstr>'Conservation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REN_Expenditure_Amount_2014</vt:lpstr>
      <vt:lpstr>REN_Expenditure_Percent_2014</vt:lpstr>
      <vt:lpstr>REN_Load_2012</vt:lpstr>
      <vt:lpstr>REN_Load_2013</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REN_RetailRevenueRequirement_2014</vt:lpstr>
      <vt:lpstr>REN_Submittal_Date</vt:lpstr>
      <vt:lpstr>REN_Total_2014</vt:lpstr>
      <vt:lpstr>REN_Utility_Name</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Glenn Blackmon</dc:creator>
  <cp:lastModifiedBy>Glenn Blackmon</cp:lastModifiedBy>
  <cp:lastPrinted>2014-05-21T15:13:42Z</cp:lastPrinted>
  <dcterms:created xsi:type="dcterms:W3CDTF">2012-03-20T21:01:26Z</dcterms:created>
  <dcterms:modified xsi:type="dcterms:W3CDTF">2014-08-29T16:39:53Z</dcterms:modified>
</cp:coreProperties>
</file>