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10710" windowHeight="8895" tabRatio="719"/>
  </bookViews>
  <sheets>
    <sheet name="Instructions - 2014" sheetId="21" r:id="rId1"/>
    <sheet name="Instructions - Revise 2012" sheetId="20" r:id="rId2"/>
    <sheet name="Conservation Report " sheetId="23" r:id="rId3"/>
    <sheet name="Renewables Report" sheetId="16" r:id="rId4"/>
    <sheet name="Data" sheetId="19" state="hidden" r:id="rId5"/>
  </sheets>
  <externalReferences>
    <externalReference r:id="rId6"/>
    <externalReference r:id="rId7"/>
    <externalReference r:id="rId8"/>
  </externalReferences>
  <definedNames>
    <definedName name="CON_2012_Agriculture_Expend" localSheetId="2">'Conservation Report '!$E$20</definedName>
    <definedName name="CON_2012_Agriculture_Expend">#REF!</definedName>
    <definedName name="CON_2012_Agriculture_MWH" localSheetId="2">'Conservation Report '!$D$20</definedName>
    <definedName name="CON_2012_Agriculture_MWH">#REF!</definedName>
    <definedName name="CON_2012_Commercial_Expend" localSheetId="2">'Conservation Report '!$E$18</definedName>
    <definedName name="CON_2012_Commercial_Expend">#REF!</definedName>
    <definedName name="CON_2012_Commercial_MWH" localSheetId="2">'Conservation Report '!$D$18</definedName>
    <definedName name="CON_2012_Commercial_MWH">#REF!</definedName>
    <definedName name="CON_2012_Distribution_Expend" localSheetId="2">'Conservation Report '!$E$21</definedName>
    <definedName name="CON_2012_Distribution_Expend">#REF!</definedName>
    <definedName name="CON_2012_Distribution_MWH" localSheetId="2">'Conservation Report '!$D$21</definedName>
    <definedName name="CON_2012_Distribution_MWH">#REF!</definedName>
    <definedName name="CON_2012_Expenditures" localSheetId="2">'Conservation Report '!$E$29</definedName>
    <definedName name="CON_2012_Expenditures">#REF!</definedName>
    <definedName name="CON_2012_Industrial_Expend" localSheetId="2">'Conservation Report '!$E$19</definedName>
    <definedName name="CON_2012_Industrial_Expend">#REF!</definedName>
    <definedName name="CON_2012_Industrial_MWH" localSheetId="2">'Conservation Report '!$D$19</definedName>
    <definedName name="CON_2012_Industrial_MWH">#REF!</definedName>
    <definedName name="CON_2012_MWH" localSheetId="2">'Conservation Report '!$D$29</definedName>
    <definedName name="CON_2012_MWH" localSheetId="0">'[1]Conservation Report'!$D$29</definedName>
    <definedName name="CON_2012_MWH">#REF!</definedName>
    <definedName name="CON_2012_NEEA_Expend" localSheetId="2">'Conservation Report '!$E$23</definedName>
    <definedName name="CON_2012_NEEA_Expend">#REF!</definedName>
    <definedName name="CON_2012_NEEA_MWH" localSheetId="2">'Conservation Report '!$D$23</definedName>
    <definedName name="CON_2012_NEEA_MWH">#REF!</definedName>
    <definedName name="CON_2012_OtherSector1_Expend" localSheetId="2">'Conservation Report '!$E$24</definedName>
    <definedName name="CON_2012_OtherSector1_Expend">#REF!</definedName>
    <definedName name="CON_2012_OtherSector1_MWH" localSheetId="2">'Conservation Report '!$D$24</definedName>
    <definedName name="CON_2012_OtherSector1_MWH">#REF!</definedName>
    <definedName name="CON_2012_OtherSector2_Expend" localSheetId="2">'Conservation Report '!$E$25</definedName>
    <definedName name="CON_2012_OtherSector2_Expend">#REF!</definedName>
    <definedName name="CON_2012_OtherSector2_MWH" localSheetId="2">'Conservation Report '!$D$25</definedName>
    <definedName name="CON_2012_OtherSector2_MWH">#REF!</definedName>
    <definedName name="CON_2012_Production_Expend" localSheetId="2">'Conservation Report '!$E$22</definedName>
    <definedName name="CON_2012_Production_Expend">#REF!</definedName>
    <definedName name="CON_2012_Production_MWH" localSheetId="2">'Conservation Report '!$D$22</definedName>
    <definedName name="CON_2012_Production_MWH">#REF!</definedName>
    <definedName name="CON_2012_Program1_Expend" localSheetId="2">'Conservation Report '!$E$27</definedName>
    <definedName name="CON_2012_Program1_Expend">#REF!</definedName>
    <definedName name="CON_2012_Program2_Expend" localSheetId="2">'Conservation Report '!$E$28</definedName>
    <definedName name="CON_2012_Program2_Expend">#REF!</definedName>
    <definedName name="CON_2012_Residential_Expend" localSheetId="2">'Conservation Report '!$E$17</definedName>
    <definedName name="CON_2012_Residential_Expend">#REF!</definedName>
    <definedName name="CON_2012_Residential_MWH" localSheetId="2">'Conservation Report '!$D$17</definedName>
    <definedName name="CON_2012_Residential_MWH">#REF!</definedName>
    <definedName name="CON_2013_Agriculture_Expend" localSheetId="2">'Conservation Report '!$H$20</definedName>
    <definedName name="CON_2013_Agriculture_Expend">#REF!</definedName>
    <definedName name="CON_2013_Agriculture_MWH" localSheetId="2">'Conservation Report '!$G$20</definedName>
    <definedName name="CON_2013_Agriculture_MWH">#REF!</definedName>
    <definedName name="CON_2013_Commercial_Expend" localSheetId="2">'Conservation Report '!$H$18</definedName>
    <definedName name="CON_2013_Commercial_Expend">#REF!</definedName>
    <definedName name="CON_2013_Commercial_MWH" localSheetId="2">'Conservation Report '!$G$18</definedName>
    <definedName name="CON_2013_Commercial_MWH">#REF!</definedName>
    <definedName name="CON_2013_Distribution_Expend" localSheetId="2">'Conservation Report '!$H$21</definedName>
    <definedName name="CON_2013_Distribution_Expend">#REF!</definedName>
    <definedName name="CON_2013_Distribution_MWH" localSheetId="2">'Conservation Report '!$G$21</definedName>
    <definedName name="CON_2013_Distribution_MWH">#REF!</definedName>
    <definedName name="CON_2013_Expenditures" localSheetId="2">'Conservation Report '!$H$29</definedName>
    <definedName name="CON_2013_Expenditures">#REF!</definedName>
    <definedName name="CON_2013_Industrial_Expend" localSheetId="2">'Conservation Report '!$H$19</definedName>
    <definedName name="CON_2013_Industrial_Expend">#REF!</definedName>
    <definedName name="CON_2013_Industrial_MWH" localSheetId="2">'Conservation Report '!$G$19</definedName>
    <definedName name="CON_2013_Industrial_MWH">#REF!</definedName>
    <definedName name="CON_2013_MWH" localSheetId="2">'Conservation Report '!$G$29</definedName>
    <definedName name="CON_2013_MWH" localSheetId="0">'[1]Conservation Report'!$G$29</definedName>
    <definedName name="CON_2013_MWH">#REF!</definedName>
    <definedName name="CON_2013_NEEA_Expend" localSheetId="2">'Conservation Report '!$H$23</definedName>
    <definedName name="CON_2013_NEEA_Expend">#REF!</definedName>
    <definedName name="CON_2013_NEEA_MWH" localSheetId="2">'Conservation Report '!$G$23</definedName>
    <definedName name="CON_2013_NEEA_MWH">#REF!</definedName>
    <definedName name="CON_2013_OtherSector1_Expend" localSheetId="2">'Conservation Report '!$H$24</definedName>
    <definedName name="CON_2013_OtherSector1_Expend">#REF!</definedName>
    <definedName name="CON_2013_OtherSector1_MWH" localSheetId="2">'Conservation Report '!$G$24</definedName>
    <definedName name="CON_2013_OtherSector1_MWH">#REF!</definedName>
    <definedName name="CON_2013_OtherSector2_Expend" localSheetId="2">'Conservation Report '!$H$25</definedName>
    <definedName name="CON_2013_OtherSector2_Expend">#REF!</definedName>
    <definedName name="CON_2013_OtherSector2_MWH" localSheetId="2">'Conservation Report '!$G$25</definedName>
    <definedName name="CON_2013_OtherSector2_MWH">#REF!</definedName>
    <definedName name="CON_2013_Production_Expend" localSheetId="2">'Conservation Report '!$H$22</definedName>
    <definedName name="CON_2013_Production_Expend">#REF!</definedName>
    <definedName name="CON_2013_Production_MWH" localSheetId="2">'Conservation Report '!$G$22</definedName>
    <definedName name="CON_2013_Production_MWH">#REF!</definedName>
    <definedName name="CON_2013_Program1_Expend" localSheetId="2">'Conservation Report '!$H$27</definedName>
    <definedName name="CON_2013_Program1_Expend">#REF!</definedName>
    <definedName name="CON_2013_Program2_Expend" localSheetId="2">'Conservation Report '!$H$28</definedName>
    <definedName name="CON_2013_Program2_Expend">#REF!</definedName>
    <definedName name="CON_2013_Residential_Expend" localSheetId="2">'Conservation Report '!$H$17</definedName>
    <definedName name="CON_2013_Residential_Expend">#REF!</definedName>
    <definedName name="CON_2013_Residential_MWH" localSheetId="2">'Conservation Report '!$G$17</definedName>
    <definedName name="CON_2013_Residential_MWH">#REF!</definedName>
    <definedName name="CON_Contact_Name" localSheetId="2">'Conservation Report '!$C$5</definedName>
    <definedName name="CON_Contact_Name">#REF!</definedName>
    <definedName name="CON_Email" localSheetId="2">'Conservation Report '!$C$7</definedName>
    <definedName name="CON_Email">#REF!</definedName>
    <definedName name="CON_Phone" localSheetId="2">'Conservation Report '!$C$6</definedName>
    <definedName name="CON_Phone">#REF!</definedName>
    <definedName name="CON_Potential_2012_2021" localSheetId="2">'Conservation Report '!$B$12</definedName>
    <definedName name="CON_Potential_2012_2021">#REF!</definedName>
    <definedName name="CON_Potential_2014_2023" localSheetId="2">'Conservation Report '!$D$12</definedName>
    <definedName name="CON_Potential_2014_2023">#REF!</definedName>
    <definedName name="CON_Report_Date" localSheetId="2">'Conservation Report '!$C$4</definedName>
    <definedName name="CON_Report_Date">#REF!</definedName>
    <definedName name="CON_Target_2012_2013" localSheetId="2">'Conservation Report '!$C$12</definedName>
    <definedName name="CON_Target_2012_2013">#REF!</definedName>
    <definedName name="CON_Target_2014_2015" localSheetId="2">'Conservation Report '!$E$12</definedName>
    <definedName name="CON_Target_2014_2015">#REF!</definedName>
    <definedName name="CON_Utility_Name" localSheetId="2">'Conservation Report '!$C$3</definedName>
    <definedName name="CON_Utility_Name" localSheetId="0">'[1]Conservation Report'!$C$3:$E$3</definedName>
    <definedName name="CON_Utility_Name">#REF!</definedName>
    <definedName name="_xlnm.Print_Area" localSheetId="2">'Conservation Report '!$A$1:$J$82</definedName>
    <definedName name="_xlnm.Print_Area" localSheetId="3">'Renewables Report'!$A$1:$O$137</definedName>
    <definedName name="REN_Contact_Name" localSheetId="2">'[2]Renewables Report'!$C$5</definedName>
    <definedName name="REN_Contact_Name">'Renewables Report'!$C$5</definedName>
    <definedName name="REN_Email" localSheetId="2">'[2]Renewables Report'!$C$7</definedName>
    <definedName name="REN_Email">'Renewables Report'!$C$7</definedName>
    <definedName name="REN_ERR_ApprenticeLabor" localSheetId="2">'[2]Renewables Report'!$L$18</definedName>
    <definedName name="REN_ERR_ApprenticeLabor">'Renewables Report'!$L$18</definedName>
    <definedName name="REN_ERR_Biodiesel" localSheetId="2">'[2]Renewables Report'!$J$18</definedName>
    <definedName name="REN_ERR_Biodiesel">'Renewables Report'!$J$18</definedName>
    <definedName name="REN_ERR_Biomass" localSheetId="2">'[2]Renewables Report'!$K$18</definedName>
    <definedName name="REN_ERR_Biomass">'Renewables Report'!$K$18</definedName>
    <definedName name="REN_ERR_Geothermal" localSheetId="2">'[2]Renewables Report'!$F$18</definedName>
    <definedName name="REN_ERR_Geothermal">'Renewables Report'!$F$18</definedName>
    <definedName name="REN_ERR_LandfillGas" localSheetId="2">'[2]Renewables Report'!$G$18</definedName>
    <definedName name="REN_ERR_LandfillGas">'Renewables Report'!$G$18</definedName>
    <definedName name="REN_ERR_SewageGas" localSheetId="2">'[2]Renewables Report'!$I$18</definedName>
    <definedName name="REN_ERR_SewageGas">'Renewables Report'!$I$18</definedName>
    <definedName name="REN_ERR_Solar" localSheetId="2">'[2]Renewables Report'!$E$18</definedName>
    <definedName name="REN_ERR_Solar">'Renewables Report'!$E$18</definedName>
    <definedName name="REN_ERR_Water" localSheetId="2">'[2]Renewables Report'!$C$18</definedName>
    <definedName name="REN_ERR_Water">'Renewables Report'!$C$18</definedName>
    <definedName name="REN_ERR_Wind" localSheetId="2">'[2]Renewables Report'!$D$18</definedName>
    <definedName name="REN_ERR_Wind">'Renewables Report'!$D$18</definedName>
    <definedName name="REN_ERR_WOT" localSheetId="2">'[2]Renewables Report'!$H$18</definedName>
    <definedName name="REN_ERR_WOT">'Renewables Report'!$H$18</definedName>
    <definedName name="REN_Expenditure_Amount_2014" localSheetId="2">'[2]Renewables Report'!$N$11</definedName>
    <definedName name="REN_Expenditure_Amount_2014">'Renewables Report'!$N$11</definedName>
    <definedName name="REN_Expenditure_Percent_2014" localSheetId="2">'[2]Renewables Report'!$N$13</definedName>
    <definedName name="REN_Expenditure_Percent_2014">'Renewables Report'!$N$13</definedName>
    <definedName name="REN_Load_2012" localSheetId="2">'[2]Renewables Report'!$N$3</definedName>
    <definedName name="REN_Load_2012">'Renewables Report'!$N$3</definedName>
    <definedName name="REN_Load_2013" localSheetId="2">'[2]Renewables Report'!$N$4</definedName>
    <definedName name="REN_Load_2013">'Renewables Report'!$N$4</definedName>
    <definedName name="REN_REC_ApprenticeLabor" localSheetId="2">'[2]Renewables Report'!$L$19</definedName>
    <definedName name="REN_REC_ApprenticeLabor">'Renewables Report'!$L$19</definedName>
    <definedName name="REN_REC_Biodiesel" localSheetId="2">'[2]Renewables Report'!$J$19</definedName>
    <definedName name="REN_REC_Biodiesel">'Renewables Report'!$J$19</definedName>
    <definedName name="REN_REC_Biomass" localSheetId="2">'[2]Renewables Report'!$K$19</definedName>
    <definedName name="REN_REC_Biomass">'Renewables Report'!$K$19</definedName>
    <definedName name="REN_REC_DistributedGeneration" localSheetId="2">'[2]Renewables Report'!$M$19</definedName>
    <definedName name="REN_REC_DistributedGeneration">'Renewables Report'!$M$19</definedName>
    <definedName name="REN_REC_Geothermal" localSheetId="2">'[2]Renewables Report'!$F$19</definedName>
    <definedName name="REN_REC_Geothermal">'Renewables Report'!$F$19</definedName>
    <definedName name="REN_REC_LandfillGas" localSheetId="2">'[2]Renewables Report'!$G$19</definedName>
    <definedName name="REN_REC_LandfillGas">'Renewables Report'!$G$19</definedName>
    <definedName name="REN_REC_SewageGas" localSheetId="2">'[2]Renewables Report'!$I$19</definedName>
    <definedName name="REN_REC_SewageGas">'Renewables Report'!$I$19</definedName>
    <definedName name="REN_REC_Solar" localSheetId="2">'[2]Renewables Report'!$E$19</definedName>
    <definedName name="REN_REC_Solar">'Renewables Report'!$E$19</definedName>
    <definedName name="REN_REC_Wind" localSheetId="2">'[2]Renewables Report'!$D$19</definedName>
    <definedName name="REN_REC_Wind">'Renewables Report'!$D$19</definedName>
    <definedName name="REN_REC_WOT" localSheetId="2">'[2]Renewables Report'!$H$19</definedName>
    <definedName name="REN_REC_WOT">'Renewables Report'!$H$19</definedName>
    <definedName name="REN_RetailRevenueRequirement_2014" localSheetId="2">'[2]Renewables Report'!$N$12</definedName>
    <definedName name="REN_RetailRevenueRequirement_2014">'Renewables Report'!$N$12</definedName>
    <definedName name="REN_Submittal_Date" localSheetId="2">'[2]Renewables Report'!$C$4</definedName>
    <definedName name="REN_Submittal_Date">'Renewables Report'!$C$4</definedName>
    <definedName name="REN_Total_2014" localSheetId="2">'[2]Renewables Report'!$N$8</definedName>
    <definedName name="REN_Total_2014">'Renewables Report'!$N$8</definedName>
    <definedName name="REN_Utility_Name" localSheetId="2">'[2]Renewables Report'!$C$3</definedName>
    <definedName name="REN_Utility_Name">'Renewables Report'!$C$3</definedName>
    <definedName name="Target_2012_2013" localSheetId="2">'[3]Conservation Report'!$C$12</definedName>
    <definedName name="Target_2012_2013">'[1]Conservation Report'!$C$12</definedName>
    <definedName name="Target_2014_2015" localSheetId="2">'[3]Conservation Report'!$E$12</definedName>
    <definedName name="Target_2014_2015">'[1]Conservation Report'!$E$12</definedName>
  </definedNames>
  <calcPr calcId="145621"/>
</workbook>
</file>

<file path=xl/calcChain.xml><?xml version="1.0" encoding="utf-8"?>
<calcChain xmlns="http://schemas.openxmlformats.org/spreadsheetml/2006/main">
  <c r="H6" i="23" l="1"/>
  <c r="J6" i="23"/>
  <c r="D29" i="23"/>
  <c r="E29" i="23"/>
  <c r="G29" i="23"/>
  <c r="H29" i="23"/>
  <c r="C31" i="23"/>
  <c r="H7" i="23" l="1"/>
  <c r="H8" i="23" s="1"/>
  <c r="N5" i="16" l="1"/>
  <c r="A2" i="19" l="1"/>
  <c r="CF2" i="19"/>
  <c r="CD2" i="19"/>
  <c r="CC2" i="19"/>
  <c r="BR2" i="19"/>
  <c r="BQ2" i="19"/>
  <c r="BO2" i="19"/>
  <c r="BD2" i="19"/>
  <c r="BC2" i="19"/>
  <c r="BB2" i="19"/>
  <c r="BA2" i="19"/>
  <c r="AZ2" i="19"/>
  <c r="AY2" i="19"/>
  <c r="AX2" i="19"/>
  <c r="AW2" i="19"/>
  <c r="AV2" i="19"/>
  <c r="AU2" i="19"/>
  <c r="AT2" i="19"/>
  <c r="AS2" i="19"/>
  <c r="AR2" i="19"/>
  <c r="AQ2" i="19"/>
  <c r="AP2" i="19"/>
  <c r="AO2" i="19"/>
  <c r="AN2" i="19"/>
  <c r="AM2" i="19"/>
  <c r="AL2" i="19"/>
  <c r="AK2" i="19"/>
  <c r="AJ2" i="19"/>
  <c r="AI2" i="19"/>
  <c r="AH2" i="19"/>
  <c r="AG2" i="19"/>
  <c r="AF2" i="19"/>
  <c r="AE2" i="19"/>
  <c r="AD2" i="19"/>
  <c r="AC2" i="19"/>
  <c r="AB2" i="19"/>
  <c r="AA2" i="19"/>
  <c r="Z2" i="19"/>
  <c r="Y2" i="19"/>
  <c r="X2" i="19"/>
  <c r="W2" i="19"/>
  <c r="V2" i="19"/>
  <c r="U2" i="19"/>
  <c r="T2" i="19"/>
  <c r="S2" i="19"/>
  <c r="R2" i="19"/>
  <c r="Q2" i="19"/>
  <c r="P2" i="19"/>
  <c r="O2" i="19"/>
  <c r="N2" i="19"/>
  <c r="M2" i="19"/>
  <c r="L2" i="19"/>
  <c r="K2" i="19"/>
  <c r="J2" i="19"/>
  <c r="I2" i="19"/>
  <c r="H2" i="19"/>
  <c r="G2" i="19"/>
  <c r="F2" i="19"/>
  <c r="E2" i="19"/>
  <c r="D2" i="19"/>
  <c r="C2" i="19"/>
  <c r="N13" i="16" l="1"/>
  <c r="BP2" i="19" s="1"/>
  <c r="C18" i="16" l="1"/>
  <c r="BL2" i="19" s="1"/>
  <c r="D18" i="16"/>
  <c r="BM2" i="19" s="1"/>
  <c r="E18" i="16"/>
  <c r="BK2" i="19" s="1"/>
  <c r="F18" i="16"/>
  <c r="BH2" i="19" s="1"/>
  <c r="G18" i="16"/>
  <c r="BI2" i="19" s="1"/>
  <c r="H18" i="16"/>
  <c r="BN2" i="19" s="1"/>
  <c r="I18" i="16"/>
  <c r="BJ2" i="19" s="1"/>
  <c r="J18" i="16"/>
  <c r="BF2" i="19" s="1"/>
  <c r="K18" i="16"/>
  <c r="BG2" i="19" s="1"/>
  <c r="L18" i="16"/>
  <c r="BE2" i="19" s="1"/>
  <c r="M19" i="16" l="1"/>
  <c r="BV2" i="19" s="1"/>
  <c r="M20" i="16" l="1"/>
  <c r="F99" i="16"/>
  <c r="L19" i="16"/>
  <c r="BS2" i="19" s="1"/>
  <c r="F66" i="16"/>
  <c r="F36" i="16"/>
  <c r="K19" i="16"/>
  <c r="BU2" i="19" s="1"/>
  <c r="J19" i="16"/>
  <c r="BT2" i="19" s="1"/>
  <c r="I19" i="16"/>
  <c r="BY2" i="19" s="1"/>
  <c r="H19" i="16"/>
  <c r="CB2" i="19" s="1"/>
  <c r="G19" i="16"/>
  <c r="BX2" i="19" s="1"/>
  <c r="F19" i="16"/>
  <c r="BW2" i="19" s="1"/>
  <c r="E19" i="16"/>
  <c r="BZ2" i="19" s="1"/>
  <c r="D19" i="16"/>
  <c r="CA2" i="19" s="1"/>
  <c r="C20" i="16"/>
  <c r="N7" i="16"/>
  <c r="F20" i="16" l="1"/>
  <c r="J20" i="16"/>
  <c r="E20" i="16"/>
  <c r="G20" i="16"/>
  <c r="I20" i="16"/>
  <c r="H20" i="16"/>
  <c r="L20" i="16"/>
  <c r="D20" i="16"/>
  <c r="K20" i="16"/>
  <c r="N8" i="16" l="1"/>
  <c r="CE2" i="19" s="1"/>
  <c r="B2" i="19" l="1"/>
</calcChain>
</file>

<file path=xl/sharedStrings.xml><?xml version="1.0" encoding="utf-8"?>
<sst xmlns="http://schemas.openxmlformats.org/spreadsheetml/2006/main" count="351" uniqueCount="251">
  <si>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</si>
  <si>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</si>
  <si>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</si>
  <si>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</si>
  <si>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</si>
  <si>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</si>
  <si>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</si>
  <si>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</si>
  <si>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</si>
  <si>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</si>
  <si>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</si>
  <si>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</si>
  <si>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</si>
  <si>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</si>
  <si>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</si>
  <si>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</si>
  <si>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</si>
  <si>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</si>
  <si>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</si>
  <si>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</si>
  <si>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</si>
  <si>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</si>
  <si>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</si>
  <si>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</si>
  <si>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</si>
  <si>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</si>
  <si>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</si>
  <si>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</si>
  <si>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</si>
  <si>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</si>
  <si>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</si>
  <si>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</si>
  <si>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</si>
  <si>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</si>
  <si>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</si>
  <si>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</si>
  <si>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2012 - 2013 Planning</t>
  </si>
  <si>
    <t>Conservation Notes:</t>
  </si>
  <si>
    <t xml:space="preserve"> Distribution Efficiency</t>
  </si>
  <si>
    <t xml:space="preserve"> Production Efficiency</t>
  </si>
  <si>
    <t>Renewable Resources</t>
  </si>
  <si>
    <t xml:space="preserve">Wave, Ocean, Tidal </t>
  </si>
  <si>
    <t>Wave, Ocean, Tidal</t>
  </si>
  <si>
    <t>Conservation by Sector</t>
  </si>
  <si>
    <t>2012 Annual Load (MWh)</t>
  </si>
  <si>
    <t>Eligible Renewable Resources (MWh)</t>
  </si>
  <si>
    <t>Renewable Energy Credits (MWh)</t>
  </si>
  <si>
    <t>Total Renewables (MWh)</t>
  </si>
  <si>
    <t>Loads and Resources</t>
  </si>
  <si>
    <t>2012 Achievement</t>
  </si>
  <si>
    <t>Target Year</t>
  </si>
  <si>
    <t>2012 - 2013 Target (MWh)</t>
  </si>
  <si>
    <t>Select</t>
  </si>
  <si>
    <t xml:space="preserve">19.285.040 (2)(b) Renewables Target </t>
  </si>
  <si>
    <t>19.285.040 (2)(d) No Load Growth</t>
  </si>
  <si>
    <t xml:space="preserve">19.285.050 Incremental Resource Cost  </t>
  </si>
  <si>
    <t>Eligible Renewables Acquisitions / Investments (MWh)</t>
  </si>
  <si>
    <t>2013 Annual Load (MWh)</t>
  </si>
  <si>
    <t>Average of 2012 &amp; 2013 Annual Loads (MWh)</t>
  </si>
  <si>
    <t>2014 Renewable Target (% of load)</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</si>
  <si>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2014</t>
    </r>
  </si>
  <si>
    <t>2014 Compliance Method:</t>
  </si>
  <si>
    <t>WREGIS ID</t>
  </si>
  <si>
    <t>REC Year</t>
  </si>
  <si>
    <t>MWh equiv.</t>
  </si>
  <si>
    <t>2014 Eligible Renewable Energy Target (MWh)</t>
  </si>
  <si>
    <t>Target (MWh)</t>
  </si>
  <si>
    <t>Achievement (MWh)</t>
  </si>
  <si>
    <t>Difference (MWh)</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</si>
  <si>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</si>
  <si>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</si>
  <si>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2013 Achievement</t>
  </si>
  <si>
    <t>2014 - 2015 Planning</t>
  </si>
  <si>
    <t>2014 - 2015 Target (MWh)</t>
  </si>
  <si>
    <t>2014-2023 Ten Year Potential (MWh)</t>
  </si>
  <si>
    <t>2012-2021 Ten Year Potential (MWh)</t>
  </si>
  <si>
    <r>
      <t>Description of Methodology:</t>
    </r>
    <r>
      <rPr>
        <b/>
        <sz val="10"/>
        <color theme="1"/>
        <rFont val="Arial"/>
        <family val="2"/>
      </rPr>
      <t xml:space="preserve">
</t>
    </r>
  </si>
  <si>
    <r>
      <rPr>
        <sz val="12"/>
        <color theme="1"/>
        <rFont val="Arial"/>
        <family val="2"/>
      </rPr>
      <t xml:space="preserve">Energy Independence Act (I-937) </t>
    </r>
    <r>
      <rPr>
        <sz val="12"/>
        <color theme="1"/>
        <rFont val="Arial Black"/>
        <family val="2"/>
      </rPr>
      <t>Conservation Report 2014</t>
    </r>
  </si>
  <si>
    <t>Documentation of the calculation and inputs for percentage of revenue requirement invested in renewables:</t>
  </si>
  <si>
    <t>Other notes and explanations:</t>
  </si>
  <si>
    <t>Biennial</t>
  </si>
  <si>
    <t>2012-2013</t>
  </si>
  <si>
    <t>2014-2015</t>
  </si>
  <si>
    <t>Contact Name/Dept</t>
  </si>
  <si>
    <t>Report Date</t>
  </si>
  <si>
    <t>Summary of Achievement and Targets</t>
  </si>
  <si>
    <t>     (j)</t>
  </si>
  <si>
    <t>     (k)</t>
  </si>
  <si>
    <t>CON_2012_Agriculture_Expend</t>
  </si>
  <si>
    <t>CON_2012_Agriculture_MWH</t>
  </si>
  <si>
    <t>CON_2012_Commercial_Expend</t>
  </si>
  <si>
    <t>CON_2012_Commercial_MWH</t>
  </si>
  <si>
    <t>CON_2012_Distribution_Expend</t>
  </si>
  <si>
    <t>CON_2012_Distribution_MWH</t>
  </si>
  <si>
    <t>CON_2012_Expenditures</t>
  </si>
  <si>
    <t>CON_2012_Industrial_Expend</t>
  </si>
  <si>
    <t>CON_2012_Industrial_MWH</t>
  </si>
  <si>
    <t>CON_2012_MWH</t>
  </si>
  <si>
    <t>CON_2012_NEEA_Expend</t>
  </si>
  <si>
    <t>CON_2012_NEEA_MWH</t>
  </si>
  <si>
    <t>CON_2012_OtherSector1_Expend</t>
  </si>
  <si>
    <t>CON_2012_OtherSector1_MWH</t>
  </si>
  <si>
    <t>CON_2012_OtherSector2_Expend</t>
  </si>
  <si>
    <t>CON_2012_OtherSector2_MWH</t>
  </si>
  <si>
    <t>CON_2012_Production_Expend</t>
  </si>
  <si>
    <t>CON_2012_Production_MWH</t>
  </si>
  <si>
    <t>CON_2012_Program1_Expend</t>
  </si>
  <si>
    <t>CON_2012_Program2_Expend</t>
  </si>
  <si>
    <t>CON_2012_Residential_Expend</t>
  </si>
  <si>
    <t>CON_2012_Residential_MWH</t>
  </si>
  <si>
    <t>CON_2013_Agriculture_Expend</t>
  </si>
  <si>
    <t>CON_2013_Agriculture_MWH</t>
  </si>
  <si>
    <t>CON_2013_Commercial_Expend</t>
  </si>
  <si>
    <t>CON_2013_Commercial_MWH</t>
  </si>
  <si>
    <t>CON_2013_Distribution_Expend</t>
  </si>
  <si>
    <t>CON_2013_Distribution_MWH</t>
  </si>
  <si>
    <t>CON_2013_Expenditures</t>
  </si>
  <si>
    <t>CON_2013_Industrial_Expend</t>
  </si>
  <si>
    <t>CON_2013_Industrial_MWH</t>
  </si>
  <si>
    <t>CON_2013_MWH</t>
  </si>
  <si>
    <t>CON_2013_NEEA_Expend</t>
  </si>
  <si>
    <t>CON_2013_NEEA_MWH</t>
  </si>
  <si>
    <t>CON_2013_OtherSector1_Expend</t>
  </si>
  <si>
    <t>CON_2013_OtherSector1_MWH</t>
  </si>
  <si>
    <t>CON_2013_OtherSector2_Expend</t>
  </si>
  <si>
    <t>CON_2013_OtherSector2_MWH</t>
  </si>
  <si>
    <t>CON_2013_Production_Expend</t>
  </si>
  <si>
    <t>CON_2013_Production_MWH</t>
  </si>
  <si>
    <t>CON_2013_Program1_Expend</t>
  </si>
  <si>
    <t>CON_2013_Program2_Expend</t>
  </si>
  <si>
    <t>CON_2013_Residential_Expend</t>
  </si>
  <si>
    <t>CON_2013_Residential_MWH</t>
  </si>
  <si>
    <t>CON_Contact_Name</t>
  </si>
  <si>
    <t>CON_Email</t>
  </si>
  <si>
    <t>CON_Phone</t>
  </si>
  <si>
    <t>CON_Report_Date</t>
  </si>
  <si>
    <t>CON_Utility_Name</t>
  </si>
  <si>
    <t>REN_Contact_Name</t>
  </si>
  <si>
    <t>REN_Email</t>
  </si>
  <si>
    <t>REN_Submittal_Date</t>
  </si>
  <si>
    <t>REN_Utility_Name</t>
  </si>
  <si>
    <t>CON_Potential_2012_2021</t>
  </si>
  <si>
    <t>CON_Potential_2014_2023</t>
  </si>
  <si>
    <t>CON_Target_2012_2013</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</si>
  <si>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</si>
  <si>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</si>
  <si>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</si>
  <si>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</si>
  <si>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</si>
  <si>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</si>
  <si>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</si>
  <si>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</si>
  <si>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</si>
  <si>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</si>
  <si>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</si>
  <si>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REN_Load_2012</t>
  </si>
  <si>
    <t>REN_Load_2013</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</si>
  <si>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</si>
  <si>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</si>
  <si>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</si>
  <si>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</si>
  <si>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</si>
  <si>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</si>
  <si>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</si>
  <si>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</si>
  <si>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</si>
  <si>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</si>
  <si>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</si>
  <si>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Expenditures on Renewable Resources and RECs - 2014</t>
  </si>
  <si>
    <t>Investment in renewables and RECs as a percent of retail revenue requirement</t>
  </si>
  <si>
    <t>REN_Expenditure_Amount_2014</t>
  </si>
  <si>
    <t>REN_Expenditure_Percent_2014</t>
  </si>
  <si>
    <t>REN_RetailRevenueRequirement_2014</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</si>
  <si>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</si>
  <si>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REN_Total_2014</t>
  </si>
  <si>
    <t>Total annual retail revenue requirement - 2014</t>
  </si>
  <si>
    <t>RENEWABLE ENERGY WORKSHEET – REVISIONS TO 2012 REPORT</t>
  </si>
  <si>
    <t xml:space="preserve">Please use the 2012 template and mark it as revised. Contact Commerce to obtain a copy of the 2012 reporting template if necessary. </t>
  </si>
  <si>
    <r>
      <t xml:space="preserve">Energy Independence Act (I-937) </t>
    </r>
    <r>
      <rPr>
        <sz val="11"/>
        <color rgb="FF000000"/>
        <rFont val="Arial Black"/>
        <family val="2"/>
      </rPr>
      <t>Report Workbook Instructions</t>
    </r>
  </si>
  <si>
    <r>
      <t>Deadline:</t>
    </r>
    <r>
      <rPr>
        <sz val="11"/>
        <color rgb="FF000000"/>
        <rFont val="Arial"/>
        <family val="2"/>
      </rPr>
      <t xml:space="preserve"> Friday, June 1, 2014</t>
    </r>
  </si>
  <si>
    <r>
      <t>Submission:</t>
    </r>
    <r>
      <rPr>
        <sz val="11"/>
        <color rgb="FF000000"/>
        <rFont val="Arial"/>
        <family val="2"/>
      </rPr>
      <t xml:space="preserve"> Email this Workbook and all supporting documentation to </t>
    </r>
    <r>
      <rPr>
        <b/>
        <sz val="11"/>
        <color rgb="FF993300"/>
        <rFont val="Arial"/>
        <family val="2"/>
      </rPr>
      <t xml:space="preserve">EIA@commerce.wa.gov </t>
    </r>
  </si>
  <si>
    <r>
      <t>Questions:</t>
    </r>
    <r>
      <rPr>
        <sz val="11"/>
        <color rgb="FF000000"/>
        <rFont val="Arial"/>
        <family val="2"/>
      </rPr>
      <t xml:space="preserve"> Glenn Blackmon, State Energy Office, (360) 725-3115</t>
    </r>
  </si>
  <si>
    <t xml:space="preserve">The Energy Independence Act (EIA) “RCW 19.285.070, Reporting and public disclosure” requires each qualifying utility to submit an annual report describing compliance with the law. </t>
  </si>
  <si>
    <t>This template implements the public reporting requirement. Additional documentation may be necessary to demonstrate full compliance with EIA. The EIA reports will be made available to the public via Commerce’s website, http://www.commerce.wa.gov/eia.</t>
  </si>
  <si>
    <r>
      <t xml:space="preserve">Excel Report Workbook: </t>
    </r>
    <r>
      <rPr>
        <sz val="11"/>
        <color rgb="FF000000"/>
        <rFont val="Arial"/>
        <family val="2"/>
      </rPr>
      <t xml:space="preserve">Contains one worksheet for Renewables and one for Conservation. </t>
    </r>
  </si>
  <si>
    <r>
      <t xml:space="preserve">Each worksheet includes formulas for drawing results from input. Gray areas are for data input. Yellow areas are supported by formulas and require no inputs. In some cases you will want to skip over a yellow section because it summarizes detailed data that follow. The workbook requests numeric summaries as well as narratives and supporting notes. Commerce relies on the utilities to provide enough detail in the written section to ensure members of the public understand the data provided. </t>
    </r>
    <r>
      <rPr>
        <b/>
        <sz val="11"/>
        <color rgb="FF000000"/>
        <rFont val="Arial"/>
        <family val="2"/>
      </rPr>
      <t>Please submit this Workbook in Excel format (i.e., do not submit in PDF format).</t>
    </r>
  </si>
  <si>
    <r>
      <t>Attachments:</t>
    </r>
    <r>
      <rPr>
        <sz val="11"/>
        <color rgb="FF000000"/>
        <rFont val="Arial"/>
        <family val="2"/>
      </rPr>
      <t xml:space="preserve"> If you provide supporting documentation, Commerce will post that material along with your Excel Workbook. Please provide a reference to any attachments in the Excel workbook.</t>
    </r>
  </si>
  <si>
    <t>CONSERVATION WORKSHEET</t>
  </si>
  <si>
    <r>
      <t xml:space="preserve">Reporting Context: </t>
    </r>
    <r>
      <rPr>
        <sz val="11"/>
        <color rgb="FF000000"/>
        <rFont val="Arial"/>
        <family val="2"/>
      </rPr>
      <t xml:space="preserve">The conservation report includes two elements: </t>
    </r>
  </si>
  <si>
    <t>(1) a report of conservation achievement in the prior (2012-2013) biennial period relative to the targets established by the utility for that period.</t>
  </si>
  <si>
    <t>(2) a report of the utility’s 10-year conservation potential and biennial target for the 2014-2015 period.</t>
  </si>
  <si>
    <r>
      <t>Planning:</t>
    </r>
    <r>
      <rPr>
        <sz val="11"/>
        <color rgb="FF000000"/>
        <rFont val="Arial"/>
        <family val="2"/>
      </rPr>
      <t xml:space="preserve"> </t>
    </r>
  </si>
  <si>
    <r>
      <t>·</t>
    </r>
    <r>
      <rPr>
        <sz val="7"/>
        <color rgb="FF000000"/>
        <rFont val="Times New Roman"/>
        <family val="1"/>
      </rPr>
      <t xml:space="preserve">         </t>
    </r>
    <r>
      <rPr>
        <sz val="11"/>
        <color rgb="FF000000"/>
        <rFont val="Arial"/>
        <family val="2"/>
      </rPr>
      <t xml:space="preserve">For the period starting January 2012, report the utility’s 10-year potential and two-year target. </t>
    </r>
    <r>
      <rPr>
        <i/>
        <sz val="11"/>
        <color rgb="FF000000"/>
        <rFont val="Arial"/>
        <family val="2"/>
      </rPr>
      <t>If the 2012-2013 target is different from the value in the utility’s June 1, 2013, report, please provide an explanation of the difference in the Conservation Notes section.</t>
    </r>
    <r>
      <rPr>
        <sz val="11"/>
        <color rgb="FF000000"/>
        <rFont val="Arial"/>
        <family val="2"/>
      </rPr>
      <t xml:space="preserve">  </t>
    </r>
  </si>
  <si>
    <r>
      <t>·</t>
    </r>
    <r>
      <rPr>
        <sz val="7"/>
        <color rgb="FF000000"/>
        <rFont val="Times New Roman"/>
        <family val="1"/>
      </rPr>
      <t xml:space="preserve">         </t>
    </r>
    <r>
      <rPr>
        <sz val="11"/>
        <color rgb="FF000000"/>
        <rFont val="Arial"/>
        <family val="2"/>
      </rPr>
      <t>For the period starting in 2014, report the utility’s 10-year potential and two-year target as established by the utility by January 1, 2014.</t>
    </r>
  </si>
  <si>
    <r>
      <t>Achievement:</t>
    </r>
    <r>
      <rPr>
        <sz val="11"/>
        <color rgb="FF000000"/>
        <rFont val="Arial"/>
        <family val="2"/>
      </rPr>
      <t xml:space="preserve"> Report electric energy savings and conservation program cost in this section. The report shall include total electricity savings and cost by customer sector (residential, commercial, industrial, and agricultural), by production efficiencies, and by distribution efficiencies. The sectors listed are per WAC 194-37-060. Because it is a major category, we have listed NEEA separately.</t>
    </r>
  </si>
  <si>
    <t>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</si>
  <si>
    <r>
      <t>Conservation Expenditures NOT included in Sector Expenditures:</t>
    </r>
    <r>
      <rPr>
        <sz val="11"/>
        <color rgb="FF000000"/>
        <rFont val="Arial"/>
        <family val="2"/>
      </rPr>
      <t xml:space="preserve"> Some utilities have indicated they do not break down expenditures on staff, overhead, information services or other conservation- related expenses by sector. If that is the case, provide additional cost-related information in this section of the worksheet. Do not include energy savings estimates in this section.</t>
    </r>
  </si>
  <si>
    <r>
      <t>Methodology:</t>
    </r>
    <r>
      <rPr>
        <sz val="11"/>
        <color rgb="FF000000"/>
        <rFont val="Arial"/>
        <family val="2"/>
      </rPr>
      <t xml:space="preserve"> Describe the methodology used to establish the utility's ten-year potential and biennial targets for the period beginning January 1, 2014. Utilities are expected to provide sufficient detail for full public disclosure. We recommend you reference any detailed plans as approved by consumer owned utility governing authorities or investor owned utility regulators. Include web site addresses and utility contact information for referenced documentation. Planning and decision documents may be included as attachments.</t>
    </r>
  </si>
  <si>
    <t>Utilities should specifically state which of the three methods described in WAC 194-37-070, as the rule existed when the utility established its target in 2013. (WAC 194-37-070 was amended in February 2014.) The three methods are:</t>
  </si>
  <si>
    <r>
      <t>·</t>
    </r>
    <r>
      <rPr>
        <sz val="7"/>
        <color rgb="FF000000"/>
        <rFont val="Times New Roman"/>
        <family val="1"/>
      </rPr>
      <t xml:space="preserve">         </t>
    </r>
    <r>
      <rPr>
        <sz val="11"/>
        <color rgb="FF000000"/>
        <rFont val="Arial"/>
        <family val="2"/>
      </rPr>
      <t>Conservation Calculator Option: WAC 194-37-070(4).</t>
    </r>
  </si>
  <si>
    <r>
      <t>·</t>
    </r>
    <r>
      <rPr>
        <sz val="7"/>
        <color rgb="FF000000"/>
        <rFont val="Times New Roman"/>
        <family val="1"/>
      </rPr>
      <t xml:space="preserve">         </t>
    </r>
    <r>
      <rPr>
        <sz val="11"/>
        <color rgb="FF000000"/>
        <rFont val="Arial"/>
        <family val="2"/>
      </rPr>
      <t>Modified Conservation Calculator Option: WAC 194-37-070(5).</t>
    </r>
  </si>
  <si>
    <r>
      <t>·</t>
    </r>
    <r>
      <rPr>
        <sz val="7"/>
        <color rgb="FF000000"/>
        <rFont val="Times New Roman"/>
        <family val="1"/>
      </rPr>
      <t xml:space="preserve">         </t>
    </r>
    <r>
      <rPr>
        <sz val="11"/>
        <color rgb="FF000000"/>
        <rFont val="Arial"/>
        <family val="2"/>
      </rPr>
      <t>Utility Analysis Option: WAC 194-37-070(6).</t>
    </r>
  </si>
  <si>
    <r>
      <t xml:space="preserve">Conservation Notes: </t>
    </r>
    <r>
      <rPr>
        <sz val="11"/>
        <color rgb="FF000000"/>
        <rFont val="Arial"/>
        <family val="2"/>
      </rPr>
      <t>At the end of this worksheet you will find a text box called “Conservation Notes”. This is a place for any additional explanatory statements, web links or references the utility would like to include.</t>
    </r>
  </si>
  <si>
    <t>RENEWABLE ENERGY WORKSHEET</t>
  </si>
  <si>
    <t>This worksheet covers the renewable energy reporting requirements that apply to all qualifying utilities, regardless of its method of compliance. A utility electing to comply using the “no load growth” approach or the “cost cap” approach must submit additional documentation.</t>
  </si>
  <si>
    <r>
      <t>Reporting Context:</t>
    </r>
    <r>
      <rPr>
        <sz val="11"/>
        <color rgb="FF000000"/>
        <rFont val="Arial"/>
        <family val="2"/>
      </rPr>
      <t xml:space="preserve"> The June 1, 2014 renewable energy report summarizes the eligible renewables resource and renewable energy credits that the utility has acquired and or has under contract by January 1, 2014. This describes the renewables acquisitions and investments made prior to the beginning of the target year to meet the requirements of the EIA. </t>
    </r>
  </si>
  <si>
    <r>
      <t xml:space="preserve">Worksheet Organization: </t>
    </r>
    <r>
      <rPr>
        <sz val="11"/>
        <color rgb="FF000000"/>
        <rFont val="Arial"/>
        <family val="2"/>
      </rPr>
      <t>The first page of the renewables worksheet includes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</si>
  <si>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r>
      <t>Compliance Method:</t>
    </r>
    <r>
      <rPr>
        <sz val="11"/>
        <color rgb="FF000000"/>
        <rFont val="Arial"/>
        <family val="2"/>
      </rPr>
      <t xml:space="preserve"> Select one or more of the three compliance methods that the utility intends to use. The EIA provides three compliance methods. A utility must make that determination by January 1, 2014 and must include information establishing its compliance method in this report.</t>
    </r>
  </si>
  <si>
    <t>Expenditures [NEW for 2014]</t>
  </si>
  <si>
    <t>Utilities must report the percentage of retail revenue requirement invested in the incremental cost of eligible renewable resources and the cost of renewable energy credits. No specific method of calculating this percentage is required, but each utility must include in its report documentation of the calculations and inputs to this amount. WAC 194-37-110, effective 2/24/2014.</t>
  </si>
  <si>
    <r>
      <t xml:space="preserve">Note for Investor Owned Utilities (IOUs): </t>
    </r>
    <r>
      <rPr>
        <sz val="11"/>
        <color rgb="FF99330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480-109-040 WAC to complete the details.</t>
    </r>
  </si>
  <si>
    <r>
      <t xml:space="preserve">[Page 2] Renewable Resources: </t>
    </r>
    <r>
      <rPr>
        <sz val="11"/>
        <color rgb="FF000000"/>
        <rFont val="Arial"/>
        <family val="2"/>
      </rPr>
      <t>This table provides reporting of renewable resource generation (MWh) by facility and renewable energy type. It includes facility level entries for additional credits for Apprentice Labor, where applicable. For each facility, enter the renewable energy generation in the appropriate column by type. If generation is eligible for Apprentice Labor credits enter the amount in the appropriate column. For example, a wind facility meeting the apprentice labor requirements will report wind generation in column E and apprentice labor MWh equivalents in column l.</t>
    </r>
  </si>
  <si>
    <r>
      <t>[Page 3] Renewable Energy Credits:</t>
    </r>
    <r>
      <rPr>
        <sz val="11"/>
        <color rgb="FF000000"/>
        <rFont val="Arial"/>
        <family val="2"/>
      </rPr>
      <t xml:space="preserve"> This table provides reporting of renewable energy credits (one REC represents one MWh) by facility and renewable energy type. It includes facility level entries for Apprentice Labor and Distributed Generation credits. Report the facility name, the WREGIS generating unit identification number (GUID) and the vintage of the renewable energy credits (RECs). For facilities where RECs from two different years from the same facility are used, provide two rows for entry.</t>
    </r>
  </si>
  <si>
    <t>Additional reporting for compliance option 19.285.040(2)(d), “no load growth”</t>
  </si>
  <si>
    <t>Utilities electing to comply using the no-load growth method should attach a separate report with the data elements specified in WAC 194-37-110(5), effective 2/24/2014. Investor owned utilities should provide a summary of documentation required by the Utilities and Transportation Commission.</t>
  </si>
  <si>
    <t>Additional reporting for compliance option RCW 19.285.050, “cost cap”</t>
  </si>
  <si>
    <t>Utilities electing to comply using the cost cap method should attach a separate report with the data elements specified in WAC 194-37-110(4), effective 2/24/2014. Investor owned utilities should provide a summary of documentation required by the Utilities and Transportation Commission.</t>
  </si>
  <si>
    <r>
      <t>[Page 4] Notes:</t>
    </r>
    <r>
      <rPr>
        <sz val="11"/>
        <color rgb="FF000000"/>
        <rFont val="Arial"/>
        <family val="2"/>
      </rPr>
      <t xml:space="preserve"> Provide any additional information needed to support your renewables data.</t>
    </r>
  </si>
  <si>
    <r>
      <t xml:space="preserve">In addition to submitting the 2014 report, each qualifying utility should review the report it submitted in 2012. In many cases, the specific resources and quantities actually used to comply with the 2012 target differ from what the utility reported in June 2012. </t>
    </r>
    <r>
      <rPr>
        <u/>
        <sz val="11"/>
        <color theme="1"/>
        <rFont val="Arial"/>
        <family val="2"/>
      </rPr>
      <t>Utilities should submit a revised 2012 report if the actual values differ from the values reported in 2012.</t>
    </r>
    <r>
      <rPr>
        <sz val="11"/>
        <color theme="1"/>
        <rFont val="Arial"/>
        <family val="2"/>
      </rPr>
      <t xml:space="preserve"> </t>
    </r>
  </si>
  <si>
    <t>Snohomish PUD</t>
  </si>
  <si>
    <t>Anna Berg</t>
  </si>
  <si>
    <t>425-783-1604</t>
  </si>
  <si>
    <t>AJBerg@snopud.com</t>
  </si>
  <si>
    <t>Woods Creek Hydroelectric Project</t>
  </si>
  <si>
    <t>Hampton Generating Unit</t>
  </si>
  <si>
    <t>Hay Canyon Wind Facility</t>
  </si>
  <si>
    <t>Wheat Field Wind Power Project</t>
  </si>
  <si>
    <t xml:space="preserve">White Creek Wind Project </t>
  </si>
  <si>
    <t>Snohomish PUD Solar Express Projects</t>
  </si>
  <si>
    <t>BPA Tier 1: Condon Phase II</t>
  </si>
  <si>
    <t>BPA Tier 1: Klondike I</t>
  </si>
  <si>
    <t>BPA Tier 1: Klondike III</t>
  </si>
  <si>
    <t>BPA Tier 1: Stateline</t>
  </si>
  <si>
    <t>W978</t>
  </si>
  <si>
    <t>W833</t>
  </si>
  <si>
    <t>W238</t>
  </si>
  <si>
    <t>W237</t>
  </si>
  <si>
    <t>W248</t>
  </si>
  <si>
    <t>W2794</t>
  </si>
  <si>
    <t>W806</t>
  </si>
  <si>
    <t>W360</t>
  </si>
  <si>
    <t>W3708-W3713, W4046, W4047</t>
  </si>
  <si>
    <t>W129615</t>
  </si>
  <si>
    <t>Snohomish County PUD</t>
  </si>
  <si>
    <t>Labor</t>
  </si>
  <si>
    <t>Overhead</t>
  </si>
  <si>
    <t xml:space="preserve"> </t>
  </si>
  <si>
    <t>Qualco Energy Corporation</t>
  </si>
  <si>
    <t>jamitchell@snopud.com</t>
  </si>
  <si>
    <t>425-783-8163</t>
  </si>
  <si>
    <t>Jessica Mitchell - Planning &amp; Evaluation - Customer &amp; Energy Svcs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</si>
</sst>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5" x14ac:knownFonts="1">
    <font>
      <sz val="11"/>
      <color theme="1"/>
      <name val="Calibri"/>
      <family val="2"/>
      <scheme val="minor"/>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sz val="8"/>
      <color theme="1"/>
      <name val="Arial"/>
      <family val="2"/>
    </font>
    <font>
      <sz val="10"/>
      <color rgb="FFFF0000"/>
      <name val="Arial"/>
      <family val="2"/>
    </font>
    <font>
      <sz val="10"/>
      <color theme="6" tint="-0.499984740745262"/>
      <name val="Arial"/>
      <family val="2"/>
    </font>
    <font>
      <i/>
      <sz val="10"/>
      <color rgb="FFC00000"/>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i/>
      <sz val="11"/>
      <color rgb="FF000000"/>
      <name val="Arial"/>
      <family val="2"/>
    </font>
    <font>
      <b/>
      <sz val="11"/>
      <color rgb="FF000000"/>
      <name val="Arial"/>
      <family val="2"/>
    </font>
    <font>
      <b/>
      <sz val="11"/>
      <color rgb="FF993300"/>
      <name val="Arial"/>
      <family val="2"/>
    </font>
    <font>
      <sz val="11"/>
      <color rgb="FF000000"/>
      <name val="Symbol"/>
      <family val="1"/>
      <charset val="2"/>
    </font>
    <font>
      <sz val="7"/>
      <color rgb="FF000000"/>
      <name val="Times New Roman"/>
      <family val="1"/>
    </font>
    <font>
      <sz val="11"/>
      <color rgb="FF993300"/>
      <name val="Arial"/>
      <family val="2"/>
    </font>
  </fonts>
  <fills count="9">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E4E4E4"/>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s>
  <borders count="46">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s>
  <cellStyleXfs count="5">
    <xf numFmtId="0" fontId="0" fillId="0" borderId="0"/>
    <xf numFmtId="43" fontId="8" fillId="0" borderId="0" applyFont="0" applyFill="0" applyBorder="0" applyAlignment="0" applyProtection="0"/>
    <xf numFmtId="44" fontId="8" fillId="0" borderId="0" applyFont="0" applyFill="0" applyBorder="0" applyAlignment="0" applyProtection="0"/>
    <xf numFmtId="0" fontId="9" fillId="0" borderId="0" applyNumberFormat="0" applyFill="0" applyBorder="0" applyAlignment="0" applyProtection="0">
      <alignment vertical="top"/>
      <protection locked="0"/>
    </xf>
    <xf numFmtId="9" fontId="8" fillId="0" borderId="0" applyFont="0" applyFill="0" applyBorder="0" applyAlignment="0" applyProtection="0"/>
  </cellStyleXfs>
  <cellXfs count="183">
    <xf numFmtId="0" fontId="0" fillId="0" borderId="0" xfId="0"/>
    <xf numFmtId="0" fontId="10" fillId="2" borderId="0" xfId="0" applyFont="1" applyFill="1"/>
    <xf numFmtId="0" fontId="11" fillId="2" borderId="0" xfId="0" applyFont="1" applyFill="1" applyBorder="1" applyAlignment="1"/>
    <xf numFmtId="0" fontId="11" fillId="2" borderId="0" xfId="0" applyFont="1" applyFill="1" applyBorder="1" applyAlignment="1">
      <alignment horizontal="right"/>
    </xf>
    <xf numFmtId="0" fontId="10" fillId="2" borderId="0" xfId="0" applyFont="1" applyFill="1" applyBorder="1" applyAlignment="1">
      <alignment horizontal="right"/>
    </xf>
    <xf numFmtId="0" fontId="10" fillId="2" borderId="0" xfId="0" applyFont="1" applyFill="1" applyAlignment="1">
      <alignment horizontal="right"/>
    </xf>
    <xf numFmtId="0" fontId="11" fillId="2" borderId="0" xfId="0" applyFont="1" applyFill="1" applyBorder="1" applyAlignment="1">
      <alignment horizontal="left"/>
    </xf>
    <xf numFmtId="0" fontId="10" fillId="2" borderId="0" xfId="0" applyFont="1" applyFill="1" applyBorder="1"/>
    <xf numFmtId="0" fontId="10" fillId="2" borderId="0" xfId="0" applyFont="1" applyFill="1" applyAlignment="1">
      <alignment horizontal="center"/>
    </xf>
    <xf numFmtId="0" fontId="10" fillId="2" borderId="0" xfId="0" applyFont="1" applyFill="1" applyBorder="1" applyAlignment="1">
      <alignment horizontal="center"/>
    </xf>
    <xf numFmtId="0" fontId="11" fillId="2" borderId="0" xfId="0" applyFont="1" applyFill="1" applyAlignment="1">
      <alignment horizontal="right"/>
    </xf>
    <xf numFmtId="0" fontId="11" fillId="2" borderId="0" xfId="0" applyFont="1" applyFill="1"/>
    <xf numFmtId="165" fontId="10" fillId="3" borderId="1" xfId="1" applyNumberFormat="1" applyFont="1" applyFill="1" applyBorder="1"/>
    <xf numFmtId="165" fontId="10" fillId="3" borderId="2" xfId="1" applyNumberFormat="1" applyFont="1" applyFill="1" applyBorder="1"/>
    <xf numFmtId="165" fontId="10" fillId="3" borderId="3" xfId="1" applyNumberFormat="1" applyFont="1" applyFill="1" applyBorder="1"/>
    <xf numFmtId="0" fontId="10" fillId="2" borderId="0" xfId="0" applyFont="1" applyFill="1" applyAlignment="1">
      <alignment wrapText="1"/>
    </xf>
    <xf numFmtId="0" fontId="12" fillId="2" borderId="0" xfId="0" applyFont="1" applyFill="1" applyBorder="1"/>
    <xf numFmtId="0" fontId="11" fillId="2" borderId="4" xfId="0" applyFont="1" applyFill="1" applyBorder="1" applyAlignment="1">
      <alignment horizontal="center" wrapText="1"/>
    </xf>
    <xf numFmtId="0" fontId="10" fillId="2" borderId="5" xfId="0" applyFont="1" applyFill="1" applyBorder="1"/>
    <xf numFmtId="0" fontId="11" fillId="2" borderId="6" xfId="0" applyFont="1" applyFill="1" applyBorder="1" applyAlignment="1">
      <alignment horizontal="right"/>
    </xf>
    <xf numFmtId="0" fontId="11" fillId="2" borderId="0" xfId="0" applyFont="1" applyFill="1" applyBorder="1"/>
    <xf numFmtId="165" fontId="11" fillId="2" borderId="0" xfId="0" applyNumberFormat="1" applyFont="1" applyFill="1" applyBorder="1" applyAlignment="1">
      <alignment horizontal="center"/>
    </xf>
    <xf numFmtId="165" fontId="11" fillId="2" borderId="0" xfId="1" applyNumberFormat="1" applyFont="1" applyFill="1" applyBorder="1" applyAlignment="1">
      <alignment horizontal="center"/>
    </xf>
    <xf numFmtId="0" fontId="10" fillId="2" borderId="0" xfId="0" applyFont="1" applyFill="1" applyAlignment="1">
      <alignment vertical="top"/>
    </xf>
    <xf numFmtId="0" fontId="10" fillId="2" borderId="0" xfId="0" applyFont="1" applyFill="1" applyAlignment="1"/>
    <xf numFmtId="0" fontId="13" fillId="2" borderId="0" xfId="0" applyFont="1" applyFill="1" applyAlignment="1">
      <alignment horizontal="center" vertical="center"/>
    </xf>
    <xf numFmtId="0" fontId="10" fillId="2" borderId="7" xfId="0" applyFont="1" applyFill="1" applyBorder="1"/>
    <xf numFmtId="0" fontId="14" fillId="2" borderId="0" xfId="0" applyFont="1" applyFill="1" applyBorder="1" applyAlignment="1">
      <alignment horizontal="center" vertical="center" wrapText="1"/>
    </xf>
    <xf numFmtId="0" fontId="10" fillId="2" borderId="0" xfId="0" applyFont="1" applyFill="1" applyBorder="1" applyAlignment="1"/>
    <xf numFmtId="0" fontId="15" fillId="2" borderId="0" xfId="0" applyFont="1" applyFill="1"/>
    <xf numFmtId="0" fontId="15" fillId="0" borderId="0" xfId="0" applyFont="1" applyAlignment="1">
      <alignment wrapText="1"/>
    </xf>
    <xf numFmtId="0" fontId="13" fillId="2"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165" fontId="11" fillId="3" borderId="11" xfId="0" applyNumberFormat="1" applyFont="1" applyFill="1" applyBorder="1" applyAlignment="1">
      <alignment horizontal="center"/>
    </xf>
    <xf numFmtId="0" fontId="1" fillId="2" borderId="12" xfId="0" applyFont="1" applyFill="1" applyBorder="1" applyAlignment="1" applyProtection="1">
      <alignment horizontal="right"/>
    </xf>
    <xf numFmtId="0" fontId="10" fillId="2" borderId="12" xfId="0" applyFont="1" applyFill="1" applyBorder="1" applyAlignment="1">
      <alignment horizontal="right"/>
    </xf>
    <xf numFmtId="0" fontId="11" fillId="2" borderId="13" xfId="0" applyFont="1" applyFill="1" applyBorder="1"/>
    <xf numFmtId="0" fontId="3" fillId="4" borderId="14" xfId="0" applyFont="1" applyFill="1" applyBorder="1" applyAlignment="1">
      <alignment horizontal="right"/>
    </xf>
    <xf numFmtId="0" fontId="11" fillId="4" borderId="14" xfId="0" applyFont="1" applyFill="1" applyBorder="1"/>
    <xf numFmtId="0" fontId="11" fillId="4" borderId="15" xfId="0" applyFont="1" applyFill="1" applyBorder="1"/>
    <xf numFmtId="0" fontId="11" fillId="4" borderId="12" xfId="0" applyFont="1" applyFill="1" applyBorder="1"/>
    <xf numFmtId="0" fontId="11" fillId="4" borderId="16" xfId="0" applyFont="1" applyFill="1" applyBorder="1"/>
    <xf numFmtId="0" fontId="3" fillId="2" borderId="0" xfId="0" applyFont="1" applyFill="1" applyAlignment="1">
      <alignment horizontal="right"/>
    </xf>
    <xf numFmtId="0" fontId="1" fillId="4" borderId="20" xfId="0" applyFont="1" applyFill="1" applyBorder="1" applyAlignment="1">
      <alignment horizontal="right"/>
    </xf>
    <xf numFmtId="0" fontId="1" fillId="4" borderId="14" xfId="0" applyFont="1" applyFill="1" applyBorder="1" applyAlignment="1">
      <alignment horizontal="right"/>
    </xf>
    <xf numFmtId="0" fontId="11" fillId="4" borderId="21" xfId="0" applyFont="1" applyFill="1" applyBorder="1"/>
    <xf numFmtId="165" fontId="10" fillId="4" borderId="22" xfId="1" applyNumberFormat="1" applyFont="1" applyFill="1" applyBorder="1"/>
    <xf numFmtId="165" fontId="10" fillId="4" borderId="1" xfId="1" applyNumberFormat="1" applyFont="1" applyFill="1" applyBorder="1"/>
    <xf numFmtId="165" fontId="10" fillId="4" borderId="17" xfId="1" applyNumberFormat="1" applyFont="1" applyFill="1" applyBorder="1"/>
    <xf numFmtId="165" fontId="10" fillId="4" borderId="23" xfId="1" applyNumberFormat="1" applyFont="1" applyFill="1" applyBorder="1"/>
    <xf numFmtId="165" fontId="10" fillId="4" borderId="24" xfId="1" applyNumberFormat="1" applyFont="1" applyFill="1" applyBorder="1"/>
    <xf numFmtId="165" fontId="10" fillId="4" borderId="25" xfId="1" applyNumberFormat="1" applyFont="1" applyFill="1" applyBorder="1"/>
    <xf numFmtId="165" fontId="10" fillId="4" borderId="26" xfId="1" applyNumberFormat="1" applyFont="1" applyFill="1" applyBorder="1"/>
    <xf numFmtId="165" fontId="10" fillId="4" borderId="2" xfId="1" applyNumberFormat="1" applyFont="1" applyFill="1" applyBorder="1"/>
    <xf numFmtId="165" fontId="10" fillId="4" borderId="18" xfId="1" applyNumberFormat="1" applyFont="1" applyFill="1" applyBorder="1"/>
    <xf numFmtId="165" fontId="17" fillId="4" borderId="10" xfId="1" applyNumberFormat="1" applyFont="1" applyFill="1" applyBorder="1" applyAlignment="1">
      <alignment horizontal="center"/>
    </xf>
    <xf numFmtId="165" fontId="17" fillId="4" borderId="6" xfId="1" applyNumberFormat="1" applyFont="1" applyFill="1" applyBorder="1" applyAlignment="1">
      <alignment horizontal="center"/>
    </xf>
    <xf numFmtId="165" fontId="10" fillId="4" borderId="6" xfId="1" applyNumberFormat="1" applyFont="1" applyFill="1" applyBorder="1"/>
    <xf numFmtId="165" fontId="10" fillId="4" borderId="11" xfId="1" applyNumberFormat="1" applyFont="1" applyFill="1" applyBorder="1"/>
    <xf numFmtId="166" fontId="10" fillId="2" borderId="0" xfId="2" applyNumberFormat="1" applyFont="1" applyFill="1" applyBorder="1" applyAlignment="1">
      <alignment horizontal="right"/>
    </xf>
    <xf numFmtId="167" fontId="10" fillId="2" borderId="0" xfId="4" applyNumberFormat="1" applyFont="1" applyFill="1" applyBorder="1" applyAlignment="1">
      <alignment horizontal="right"/>
    </xf>
    <xf numFmtId="166" fontId="10" fillId="2" borderId="0" xfId="0" applyNumberFormat="1" applyFont="1" applyFill="1" applyBorder="1"/>
    <xf numFmtId="0" fontId="10" fillId="2" borderId="0" xfId="0" applyFont="1" applyFill="1" applyBorder="1" applyAlignment="1">
      <alignment horizontal="left"/>
    </xf>
    <xf numFmtId="0" fontId="20" fillId="2" borderId="29" xfId="0" applyFont="1" applyFill="1" applyBorder="1" applyAlignment="1">
      <alignment horizontal="right"/>
    </xf>
    <xf numFmtId="0" fontId="20" fillId="2" borderId="30" xfId="0" applyFont="1" applyFill="1" applyBorder="1" applyAlignment="1">
      <alignment horizontal="right"/>
    </xf>
    <xf numFmtId="0" fontId="20" fillId="2" borderId="0" xfId="0" applyFont="1" applyFill="1" applyAlignment="1">
      <alignment horizontal="right"/>
    </xf>
    <xf numFmtId="0" fontId="21" fillId="2" borderId="0" xfId="0" applyFont="1" applyFill="1"/>
    <xf numFmtId="0" fontId="21" fillId="2" borderId="0" xfId="0" applyFont="1" applyFill="1" applyBorder="1" applyAlignment="1"/>
    <xf numFmtId="0" fontId="20" fillId="2" borderId="0" xfId="0" applyFont="1" applyFill="1" applyBorder="1"/>
    <xf numFmtId="0" fontId="20" fillId="2" borderId="0" xfId="0" applyFont="1" applyFill="1"/>
    <xf numFmtId="0" fontId="11" fillId="2" borderId="0" xfId="0" applyFont="1" applyFill="1" applyBorder="1" applyAlignment="1">
      <alignment horizontal="center"/>
    </xf>
    <xf numFmtId="0" fontId="1" fillId="2" borderId="0" xfId="0" applyFont="1" applyFill="1" applyBorder="1" applyAlignment="1">
      <alignment horizontal="right" wrapText="1"/>
    </xf>
    <xf numFmtId="0" fontId="1" fillId="2" borderId="0" xfId="0" applyFont="1" applyFill="1" applyBorder="1" applyAlignment="1">
      <alignment horizontal="right"/>
    </xf>
    <xf numFmtId="0" fontId="7" fillId="2" borderId="0" xfId="0" applyNumberFormat="1"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xf>
    <xf numFmtId="0" fontId="3" fillId="2" borderId="0" xfId="0" applyFont="1" applyFill="1" applyAlignment="1">
      <alignment horizontal="center"/>
    </xf>
    <xf numFmtId="0" fontId="1" fillId="2" borderId="0" xfId="0" applyFont="1" applyFill="1" applyBorder="1" applyAlignment="1">
      <alignment horizontal="right"/>
    </xf>
    <xf numFmtId="0" fontId="10" fillId="2" borderId="33" xfId="0" applyFont="1" applyFill="1" applyBorder="1"/>
    <xf numFmtId="3" fontId="10" fillId="3" borderId="36" xfId="0" applyNumberFormat="1" applyFont="1" applyFill="1" applyBorder="1" applyAlignment="1">
      <alignment horizontal="center"/>
    </xf>
    <xf numFmtId="9" fontId="1" fillId="3" borderId="36" xfId="0" applyNumberFormat="1" applyFont="1" applyFill="1" applyBorder="1" applyAlignment="1">
      <alignment horizontal="center"/>
    </xf>
    <xf numFmtId="0" fontId="10" fillId="2" borderId="37" xfId="0" applyFont="1" applyFill="1" applyBorder="1"/>
    <xf numFmtId="0" fontId="10" fillId="2" borderId="32" xfId="0" applyFont="1" applyFill="1" applyBorder="1"/>
    <xf numFmtId="0" fontId="1" fillId="2" borderId="32" xfId="0" applyFont="1" applyFill="1" applyBorder="1" applyAlignment="1">
      <alignment horizontal="right"/>
    </xf>
    <xf numFmtId="3" fontId="10" fillId="3" borderId="13" xfId="0" applyNumberFormat="1" applyFont="1" applyFill="1" applyBorder="1" applyAlignment="1">
      <alignment horizontal="center"/>
    </xf>
    <xf numFmtId="0" fontId="23" fillId="2" borderId="0" xfId="0" applyFont="1" applyFill="1" applyBorder="1" applyAlignment="1"/>
    <xf numFmtId="0" fontId="10" fillId="2" borderId="0" xfId="0" applyFont="1" applyFill="1" applyAlignment="1">
      <alignment horizontal="left"/>
    </xf>
    <xf numFmtId="0" fontId="1" fillId="2" borderId="0" xfId="0" applyFont="1" applyFill="1" applyAlignment="1">
      <alignment horizontal="right"/>
    </xf>
    <xf numFmtId="165" fontId="18" fillId="3" borderId="20" xfId="0" applyNumberFormat="1" applyFont="1" applyFill="1" applyBorder="1"/>
    <xf numFmtId="165" fontId="18" fillId="3" borderId="19" xfId="0" applyNumberFormat="1" applyFont="1" applyFill="1" applyBorder="1"/>
    <xf numFmtId="165" fontId="18" fillId="3" borderId="14" xfId="0" applyNumberFormat="1" applyFont="1" applyFill="1" applyBorder="1"/>
    <xf numFmtId="165" fontId="18" fillId="3" borderId="15" xfId="0" applyNumberFormat="1" applyFont="1" applyFill="1" applyBorder="1"/>
    <xf numFmtId="0" fontId="11" fillId="2" borderId="10" xfId="0" applyFont="1" applyFill="1" applyBorder="1" applyAlignment="1">
      <alignment horizontal="center" wrapText="1"/>
    </xf>
    <xf numFmtId="0" fontId="11" fillId="2" borderId="38" xfId="0" applyFont="1" applyFill="1" applyBorder="1" applyAlignment="1">
      <alignment horizontal="center" wrapText="1"/>
    </xf>
    <xf numFmtId="165" fontId="11" fillId="5" borderId="11" xfId="1" applyNumberFormat="1" applyFont="1" applyFill="1" applyBorder="1" applyAlignment="1">
      <alignment horizontal="right"/>
    </xf>
    <xf numFmtId="165" fontId="11" fillId="5" borderId="2" xfId="1" applyNumberFormat="1" applyFont="1" applyFill="1" applyBorder="1" applyAlignment="1">
      <alignment horizontal="right"/>
    </xf>
    <xf numFmtId="165" fontId="11" fillId="5" borderId="18" xfId="1" applyNumberFormat="1" applyFont="1" applyFill="1" applyBorder="1" applyAlignment="1">
      <alignment horizontal="right"/>
    </xf>
    <xf numFmtId="165" fontId="10" fillId="5" borderId="6" xfId="1" applyNumberFormat="1" applyFont="1" applyFill="1" applyBorder="1" applyAlignment="1">
      <alignment horizontal="center"/>
    </xf>
    <xf numFmtId="165" fontId="10" fillId="5" borderId="6" xfId="0" applyNumberFormat="1" applyFont="1" applyFill="1" applyBorder="1" applyAlignment="1">
      <alignment horizontal="center"/>
    </xf>
    <xf numFmtId="0" fontId="11" fillId="5" borderId="12" xfId="0" applyFont="1" applyFill="1" applyBorder="1"/>
    <xf numFmtId="0" fontId="11" fillId="5" borderId="12" xfId="0" applyFont="1" applyFill="1" applyBorder="1" applyAlignment="1">
      <alignment vertical="center" wrapText="1"/>
    </xf>
    <xf numFmtId="164" fontId="10" fillId="6" borderId="27" xfId="0" applyNumberFormat="1" applyFont="1" applyFill="1" applyBorder="1" applyAlignment="1">
      <alignment horizontal="center"/>
    </xf>
    <xf numFmtId="0" fontId="10" fillId="2" borderId="33" xfId="0" applyFont="1" applyFill="1" applyBorder="1" applyAlignment="1"/>
    <xf numFmtId="0" fontId="11" fillId="2" borderId="0" xfId="0" applyFont="1" applyFill="1" applyAlignment="1">
      <alignment horizontal="center"/>
    </xf>
    <xf numFmtId="0" fontId="10" fillId="0" borderId="40" xfId="0" applyFont="1" applyBorder="1" applyAlignment="1"/>
    <xf numFmtId="0" fontId="3" fillId="2" borderId="40" xfId="0" applyFont="1" applyFill="1" applyBorder="1" applyAlignment="1">
      <alignment horizontal="center"/>
    </xf>
    <xf numFmtId="164" fontId="10" fillId="7" borderId="27" xfId="0" applyNumberFormat="1" applyFont="1" applyFill="1" applyBorder="1" applyAlignment="1">
      <alignment horizontal="center"/>
    </xf>
    <xf numFmtId="164" fontId="10" fillId="7" borderId="28" xfId="0" applyNumberFormat="1" applyFont="1" applyFill="1" applyBorder="1" applyAlignment="1">
      <alignment horizontal="center"/>
    </xf>
    <xf numFmtId="169" fontId="10" fillId="5" borderId="24" xfId="1" applyNumberFormat="1" applyFont="1" applyFill="1" applyBorder="1" applyAlignment="1">
      <alignment horizontal="right"/>
    </xf>
    <xf numFmtId="169" fontId="10" fillId="2" borderId="0" xfId="0" applyNumberFormat="1" applyFont="1" applyFill="1" applyAlignment="1">
      <alignment horizontal="right"/>
    </xf>
    <xf numFmtId="169" fontId="11" fillId="3" borderId="2" xfId="1" applyNumberFormat="1" applyFont="1" applyFill="1" applyBorder="1" applyAlignment="1">
      <alignment horizontal="right"/>
    </xf>
    <xf numFmtId="0" fontId="25" fillId="2" borderId="0" xfId="0" applyFont="1" applyFill="1" applyBorder="1" applyAlignment="1">
      <alignment vertical="top" wrapText="1"/>
    </xf>
    <xf numFmtId="0" fontId="25" fillId="2" borderId="32" xfId="0" applyFont="1" applyFill="1" applyBorder="1" applyAlignment="1">
      <alignment vertical="top" wrapText="1"/>
    </xf>
    <xf numFmtId="0" fontId="21" fillId="2" borderId="0" xfId="0" applyFont="1" applyFill="1" applyBorder="1"/>
    <xf numFmtId="0" fontId="25" fillId="2" borderId="37" xfId="0" applyFont="1" applyFill="1" applyBorder="1" applyAlignment="1">
      <alignment vertical="top"/>
    </xf>
    <xf numFmtId="167" fontId="10" fillId="3" borderId="13" xfId="4" applyNumberFormat="1" applyFont="1" applyFill="1" applyBorder="1" applyAlignment="1">
      <alignment horizontal="center"/>
    </xf>
    <xf numFmtId="0" fontId="26" fillId="0" borderId="41" xfId="0" applyFont="1" applyBorder="1" applyAlignment="1">
      <alignment vertical="center" wrapText="1"/>
    </xf>
    <xf numFmtId="0" fontId="26" fillId="0" borderId="42" xfId="0" applyFont="1" applyBorder="1" applyAlignment="1">
      <alignment vertical="center" wrapText="1"/>
    </xf>
    <xf numFmtId="0" fontId="20" fillId="0" borderId="42" xfId="0" applyFont="1" applyBorder="1" applyAlignment="1">
      <alignment vertical="center" wrapText="1"/>
    </xf>
    <xf numFmtId="0" fontId="20" fillId="0" borderId="43" xfId="0" applyFont="1" applyBorder="1" applyAlignment="1">
      <alignment vertical="center" wrapText="1"/>
    </xf>
    <xf numFmtId="0" fontId="28" fillId="8" borderId="44" xfId="0" applyFont="1" applyFill="1" applyBorder="1" applyAlignment="1">
      <alignment vertical="center"/>
    </xf>
    <xf numFmtId="168" fontId="29" fillId="8" borderId="45" xfId="0" applyNumberFormat="1" applyFont="1" applyFill="1" applyBorder="1" applyAlignment="1">
      <alignment horizontal="left" vertical="center"/>
    </xf>
    <xf numFmtId="0" fontId="28" fillId="8" borderId="45" xfId="0" applyFont="1" applyFill="1" applyBorder="1" applyAlignment="1">
      <alignment vertical="center"/>
    </xf>
    <xf numFmtId="0" fontId="30" fillId="8" borderId="42" xfId="0" applyFont="1" applyFill="1" applyBorder="1" applyAlignment="1">
      <alignment vertical="center" wrapText="1"/>
    </xf>
    <xf numFmtId="0" fontId="30" fillId="8" borderId="45" xfId="0" applyFont="1" applyFill="1" applyBorder="1" applyAlignment="1">
      <alignment vertical="center" wrapText="1"/>
    </xf>
    <xf numFmtId="0" fontId="28" fillId="8" borderId="42" xfId="0" applyFont="1" applyFill="1" applyBorder="1" applyAlignment="1">
      <alignment vertical="center" wrapText="1"/>
    </xf>
    <xf numFmtId="0" fontId="30" fillId="8" borderId="45" xfId="0" applyFont="1" applyFill="1" applyBorder="1" applyAlignment="1">
      <alignment vertical="center"/>
    </xf>
    <xf numFmtId="0" fontId="28" fillId="8" borderId="45" xfId="0" applyFont="1" applyFill="1" applyBorder="1" applyAlignment="1">
      <alignment vertical="center" wrapText="1"/>
    </xf>
    <xf numFmtId="0" fontId="26" fillId="8" borderId="45" xfId="0" applyFont="1" applyFill="1" applyBorder="1" applyAlignment="1">
      <alignment vertical="center"/>
    </xf>
    <xf numFmtId="0" fontId="28" fillId="8" borderId="42" xfId="0" applyFont="1" applyFill="1" applyBorder="1" applyAlignment="1">
      <alignment horizontal="left" vertical="center" wrapText="1" indent="5"/>
    </xf>
    <xf numFmtId="0" fontId="28" fillId="8" borderId="45" xfId="0" applyFont="1" applyFill="1" applyBorder="1" applyAlignment="1">
      <alignment horizontal="left" vertical="center" wrapText="1" indent="5"/>
    </xf>
    <xf numFmtId="0" fontId="30" fillId="8" borderId="42" xfId="0" applyFont="1" applyFill="1" applyBorder="1" applyAlignment="1">
      <alignment vertical="center"/>
    </xf>
    <xf numFmtId="0" fontId="32" fillId="8" borderId="42" xfId="0" applyFont="1" applyFill="1" applyBorder="1" applyAlignment="1">
      <alignment horizontal="left" vertical="center" wrapText="1" indent="5"/>
    </xf>
    <xf numFmtId="0" fontId="32" fillId="8" borderId="45" xfId="0" applyFont="1" applyFill="1" applyBorder="1" applyAlignment="1">
      <alignment horizontal="left" vertical="center" indent="5"/>
    </xf>
    <xf numFmtId="0" fontId="0" fillId="8" borderId="42" xfId="0" applyFill="1" applyBorder="1" applyAlignment="1">
      <alignment vertical="center" wrapText="1"/>
    </xf>
    <xf numFmtId="0" fontId="32" fillId="8" borderId="45" xfId="0" applyFont="1" applyFill="1" applyBorder="1" applyAlignment="1">
      <alignment horizontal="left" vertical="center" wrapText="1" indent="5"/>
    </xf>
    <xf numFmtId="0" fontId="31" fillId="8" borderId="45" xfId="0" applyFont="1" applyFill="1" applyBorder="1" applyAlignment="1">
      <alignment vertical="center" wrapText="1"/>
    </xf>
    <xf numFmtId="0" fontId="30" fillId="8" borderId="43" xfId="0" applyFont="1" applyFill="1" applyBorder="1" applyAlignment="1">
      <alignment vertical="center"/>
    </xf>
    <xf numFmtId="0" fontId="10" fillId="4" borderId="12" xfId="0" applyFont="1" applyFill="1" applyBorder="1" applyAlignment="1">
      <alignment horizontal="left"/>
    </xf>
    <xf numFmtId="165" fontId="16" fillId="4" borderId="12" xfId="1" applyNumberFormat="1" applyFont="1" applyFill="1" applyBorder="1" applyAlignment="1"/>
    <xf numFmtId="0" fontId="10" fillId="2" borderId="0" xfId="0" applyNumberFormat="1" applyFont="1" applyFill="1"/>
    <xf numFmtId="165" fontId="10" fillId="4" borderId="12" xfId="1" applyNumberFormat="1" applyFont="1" applyFill="1" applyBorder="1" applyAlignment="1">
      <alignment horizontal="center"/>
    </xf>
    <xf numFmtId="0" fontId="11" fillId="2" borderId="31" xfId="0" applyFont="1" applyFill="1" applyBorder="1" applyAlignment="1"/>
    <xf numFmtId="0" fontId="11" fillId="2" borderId="32" xfId="0" applyFont="1" applyFill="1" applyBorder="1" applyAlignment="1">
      <alignment horizontal="center"/>
    </xf>
    <xf numFmtId="0" fontId="11" fillId="5" borderId="20" xfId="0" applyFont="1" applyFill="1" applyBorder="1" applyAlignment="1">
      <alignment horizontal="center"/>
    </xf>
    <xf numFmtId="0" fontId="11" fillId="2" borderId="39" xfId="0" applyFont="1" applyFill="1" applyBorder="1" applyAlignment="1">
      <alignment horizontal="center"/>
    </xf>
    <xf numFmtId="168" fontId="12" fillId="5" borderId="14" xfId="0" applyNumberFormat="1" applyFont="1" applyFill="1" applyBorder="1" applyAlignment="1">
      <alignment horizontal="left"/>
    </xf>
    <xf numFmtId="168" fontId="10" fillId="5" borderId="14" xfId="0" applyNumberFormat="1" applyFont="1" applyFill="1" applyBorder="1" applyAlignment="1">
      <alignment horizontal="left"/>
    </xf>
    <xf numFmtId="0" fontId="11" fillId="5" borderId="14" xfId="0" applyFont="1" applyFill="1" applyBorder="1" applyAlignment="1">
      <alignment horizontal="left"/>
    </xf>
    <xf numFmtId="0" fontId="10" fillId="5" borderId="14" xfId="0" applyFont="1" applyFill="1" applyBorder="1" applyAlignment="1">
      <alignment horizontal="left"/>
    </xf>
    <xf numFmtId="0" fontId="9" fillId="5" borderId="15" xfId="3" applyFill="1" applyBorder="1" applyAlignment="1" applyProtection="1">
      <alignment horizontal="left"/>
    </xf>
    <xf numFmtId="0" fontId="10" fillId="5" borderId="15" xfId="0" applyFont="1" applyFill="1" applyBorder="1" applyAlignment="1">
      <alignment horizontal="left"/>
    </xf>
    <xf numFmtId="0" fontId="10" fillId="2" borderId="0" xfId="0" applyFont="1" applyFill="1" applyBorder="1" applyAlignment="1">
      <alignment horizontal="right" wrapText="1"/>
    </xf>
    <xf numFmtId="0" fontId="10" fillId="2" borderId="36" xfId="0" applyFont="1" applyFill="1" applyBorder="1" applyAlignment="1">
      <alignment horizontal="right" wrapText="1"/>
    </xf>
    <xf numFmtId="0" fontId="11" fillId="3" borderId="19" xfId="0" applyFont="1" applyFill="1" applyBorder="1" applyAlignment="1">
      <alignment horizontal="center"/>
    </xf>
    <xf numFmtId="0" fontId="11" fillId="2" borderId="0" xfId="0" applyFont="1" applyFill="1" applyBorder="1" applyAlignment="1">
      <alignment vertical="top" wrapText="1"/>
    </xf>
    <xf numFmtId="0" fontId="10" fillId="2" borderId="0" xfId="0" applyFont="1" applyFill="1" applyBorder="1" applyAlignment="1">
      <alignment vertical="top" wrapText="1"/>
    </xf>
    <xf numFmtId="0" fontId="10" fillId="2" borderId="31" xfId="0" applyFont="1" applyFill="1" applyBorder="1" applyAlignment="1"/>
    <xf numFmtId="0" fontId="10" fillId="2" borderId="0" xfId="0" applyFont="1" applyFill="1" applyBorder="1" applyAlignment="1"/>
    <xf numFmtId="0" fontId="11" fillId="2" borderId="0" xfId="0" applyFont="1" applyFill="1" applyBorder="1" applyAlignment="1">
      <alignment horizontal="center"/>
    </xf>
    <xf numFmtId="0" fontId="11" fillId="0" borderId="34" xfId="0" applyFont="1" applyBorder="1" applyAlignment="1">
      <alignment horizontal="center" wrapText="1"/>
    </xf>
    <xf numFmtId="0" fontId="11" fillId="0" borderId="7" xfId="0" applyFont="1" applyBorder="1" applyAlignment="1">
      <alignment horizontal="center" wrapText="1"/>
    </xf>
    <xf numFmtId="0" fontId="11" fillId="0" borderId="35" xfId="0" applyFont="1" applyBorder="1" applyAlignment="1">
      <alignment horizontal="center" wrapText="1"/>
    </xf>
    <xf numFmtId="0" fontId="11" fillId="2" borderId="34" xfId="0" applyFont="1" applyFill="1" applyBorder="1" applyAlignment="1">
      <alignment horizontal="center"/>
    </xf>
    <xf numFmtId="0" fontId="11" fillId="2" borderId="7" xfId="0" applyFont="1" applyFill="1" applyBorder="1" applyAlignment="1">
      <alignment horizontal="center"/>
    </xf>
    <xf numFmtId="0" fontId="11" fillId="2" borderId="35" xfId="0" applyFont="1" applyFill="1" applyBorder="1" applyAlignment="1">
      <alignment horizontal="center"/>
    </xf>
    <xf numFmtId="0" fontId="11" fillId="4" borderId="20" xfId="0" applyFont="1" applyFill="1" applyBorder="1" applyAlignment="1">
      <alignment horizontal="center"/>
    </xf>
    <xf numFmtId="168" fontId="10" fillId="4" borderId="14" xfId="0" applyNumberFormat="1" applyFont="1" applyFill="1" applyBorder="1" applyAlignment="1">
      <alignment horizontal="center"/>
    </xf>
    <xf numFmtId="0" fontId="10" fillId="4" borderId="14" xfId="0" applyFont="1" applyFill="1" applyBorder="1" applyAlignment="1">
      <alignment horizontal="center"/>
    </xf>
    <xf numFmtId="0" fontId="9" fillId="4" borderId="15" xfId="3" applyFill="1" applyBorder="1" applyAlignment="1" applyProtection="1">
      <alignment horizontal="center"/>
    </xf>
    <xf numFmtId="0" fontId="10" fillId="4" borderId="15" xfId="0" applyFont="1" applyFill="1" applyBorder="1" applyAlignment="1">
      <alignment horizontal="center"/>
    </xf>
    <xf numFmtId="0" fontId="1" fillId="2" borderId="0" xfId="0" applyFont="1" applyFill="1" applyBorder="1" applyAlignment="1">
      <alignment horizontal="right" wrapText="1"/>
    </xf>
    <xf numFmtId="0" fontId="11" fillId="3" borderId="10" xfId="0" applyFont="1" applyFill="1" applyBorder="1" applyAlignment="1">
      <alignment horizontal="center"/>
    </xf>
    <xf numFmtId="0" fontId="10" fillId="0" borderId="1" xfId="0" applyFont="1" applyBorder="1" applyAlignment="1"/>
    <xf numFmtId="0" fontId="10" fillId="0" borderId="17" xfId="0" applyFont="1" applyBorder="1" applyAlignment="1"/>
    <xf numFmtId="0" fontId="11" fillId="2" borderId="11" xfId="0" applyFont="1" applyFill="1" applyBorder="1" applyAlignment="1">
      <alignment horizontal="center"/>
    </xf>
    <xf numFmtId="0" fontId="10" fillId="2" borderId="2" xfId="0" applyFont="1" applyFill="1" applyBorder="1" applyAlignment="1">
      <alignment horizontal="center"/>
    </xf>
    <xf numFmtId="0" fontId="10" fillId="2" borderId="18" xfId="0" applyFont="1" applyFill="1" applyBorder="1" applyAlignment="1">
      <alignment horizontal="center"/>
    </xf>
    <xf numFmtId="0" fontId="2" fillId="2" borderId="0" xfId="0" applyFont="1" applyFill="1" applyAlignment="1">
      <alignment horizontal="left" vertical="center" wrapText="1"/>
    </xf>
    <xf numFmtId="0" fontId="19" fillId="2" borderId="0" xfId="0" applyFont="1" applyFill="1" applyAlignment="1">
      <alignment horizontal="left" vertical="center" wrapText="1"/>
    </xf>
    <xf numFmtId="0" fontId="0" fillId="2" borderId="0" xfId="0" applyFill="1" applyAlignment="1">
      <alignment wrapText="1"/>
    </xf>
    <xf numFmtId="0" fontId="3" fillId="2" borderId="32" xfId="0" applyFont="1" applyFill="1" applyBorder="1" applyAlignment="1">
      <alignment horizontal="left"/>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hyperlink" Target="http://www.snopud.com/PowerSupply/irp.ashx?p=1161"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http://www.snopud.com/Site/Content/Documents/finance/AR13_web.pdf"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9525</xdr:colOff>
      <xdr:row>33</xdr:row>
      <xdr:rowOff>31749</xdr:rowOff>
    </xdr:from>
    <xdr:to>
      <xdr:col>9</xdr:col>
      <xdr:colOff>638175</xdr:colOff>
      <xdr:row>56</xdr:row>
      <xdr:rowOff>114299</xdr:rowOff>
    </xdr:to>
    <xdr:sp macro="" textlink="">
      <xdr:nvSpPr>
        <xdr:cNvPr id="2" name="TextBox 1">
          <a:hlinkClick xmlns:r="http://schemas.openxmlformats.org/officeDocument/2006/relationships" r:id="rId1"/>
        </xdr:cNvPr>
        <xdr:cNvSpPr txBox="1"/>
      </xdr:nvSpPr>
      <xdr:spPr>
        <a:xfrm>
          <a:off x="619125" y="6318249"/>
          <a:ext cx="5476875" cy="4464050"/>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eaLnBrk="1" fontAlgn="auto" latinLnBrk="0" hangingPunct="1"/>
          <a:r>
            <a:rPr lang="en-US" sz="1100">
              <a:solidFill>
                <a:schemeClr val="dk1"/>
              </a:solidFill>
              <a:effectLst/>
              <a:latin typeface="+mn-lt"/>
              <a:ea typeface="+mn-ea"/>
              <a:cs typeface="+mn-cs"/>
            </a:rPr>
            <a:t>In compliance with Initiative 937, the Energy Independence Act (Chapter 19.285 RCW), and the requirements of WAC 194-37-070, Snohomish County Public Utility District No. 1 (District) has assessed its ten-year conservation potential and established targets for 2012-2013. The conservation potential and targets are informed</a:t>
          </a:r>
          <a:r>
            <a:rPr lang="en-US" sz="1100" baseline="0">
              <a:solidFill>
                <a:schemeClr val="dk1"/>
              </a:solidFill>
              <a:effectLst/>
              <a:latin typeface="+mn-lt"/>
              <a:ea typeface="+mn-ea"/>
              <a:cs typeface="+mn-cs"/>
            </a:rPr>
            <a:t> by </a:t>
          </a:r>
          <a:r>
            <a:rPr lang="en-US" sz="1100">
              <a:solidFill>
                <a:schemeClr val="dk1"/>
              </a:solidFill>
              <a:effectLst/>
              <a:latin typeface="+mn-lt"/>
              <a:ea typeface="+mn-ea"/>
              <a:cs typeface="+mn-cs"/>
            </a:rPr>
            <a:t>the District’s 2011 Mid-Term Assessment of its 2010 Integrated Resource Plan, adopted</a:t>
          </a:r>
          <a:r>
            <a:rPr lang="en-US" sz="1100" baseline="0">
              <a:solidFill>
                <a:schemeClr val="dk1"/>
              </a:solidFill>
              <a:effectLst/>
              <a:latin typeface="+mn-lt"/>
              <a:ea typeface="+mn-ea"/>
              <a:cs typeface="+mn-cs"/>
            </a:rPr>
            <a:t> by the District's Commission on December 20, 2011</a:t>
          </a:r>
          <a:r>
            <a:rPr lang="en-US" sz="1100">
              <a:solidFill>
                <a:schemeClr val="dk1"/>
              </a:solidFill>
              <a:effectLst/>
              <a:latin typeface="+mn-lt"/>
              <a:ea typeface="+mn-ea"/>
              <a:cs typeface="+mn-cs"/>
            </a:rPr>
            <a:t>. The 2010 Integrated Resource Plan and the 2011 Mid-Term Assessment can be found at the District’s website at </a:t>
          </a:r>
          <a:r>
            <a:rPr lang="en-US" sz="1100" u="sng">
              <a:solidFill>
                <a:schemeClr val="dk1"/>
              </a:solidFill>
              <a:effectLst/>
              <a:latin typeface="+mn-lt"/>
              <a:ea typeface="+mn-ea"/>
              <a:cs typeface="+mn-cs"/>
            </a:rPr>
            <a:t>http://www.snopud.com/PowerSupply/irp.ashx?p=1161</a:t>
          </a:r>
          <a:r>
            <a:rPr lang="en-US" sz="1100">
              <a:solidFill>
                <a:schemeClr val="dk1"/>
              </a:solidFill>
              <a:effectLst/>
              <a:latin typeface="+mn-lt"/>
              <a:ea typeface="+mn-ea"/>
              <a:cs typeface="+mn-cs"/>
            </a:rPr>
            <a:t>. </a:t>
          </a:r>
          <a:endParaRPr lang="en-US">
            <a:effectLst/>
          </a:endParaRPr>
        </a:p>
        <a:p>
          <a:pPr eaLnBrk="1" fontAlgn="auto" latinLnBrk="0" hangingPunct="1"/>
          <a:endParaRPr lang="en-US" sz="1100">
            <a:solidFill>
              <a:schemeClr val="dk1"/>
            </a:solidFill>
            <a:effectLst/>
            <a:latin typeface="+mn-lt"/>
            <a:ea typeface="+mn-ea"/>
            <a:cs typeface="+mn-cs"/>
          </a:endParaRPr>
        </a:p>
        <a:p>
          <a:pPr eaLnBrk="1" fontAlgn="auto" latinLnBrk="0" hangingPunct="1"/>
          <a:r>
            <a:rPr lang="en-US" sz="1100">
              <a:solidFill>
                <a:schemeClr val="dk1"/>
              </a:solidFill>
              <a:effectLst/>
              <a:latin typeface="+mn-lt"/>
              <a:ea typeface="+mn-ea"/>
              <a:cs typeface="+mn-cs"/>
            </a:rPr>
            <a:t>The District’s 2011 Mid-Term Assessment and 2012-2013 Energy Conservation targets were described, explained, reviewed and open to public comment in a noticed public meeting by the Snohomish County PUD Board of Commissioners.  Staff’s recommendation for 2012-2013 conservation targets was subsequently reviewed at a second noticed public meeting of the Board of Commissioners and the 2012-2013 targets were adopted by the Board in Resolution No. 5570 on December 20, 2011.   A copy of the resolution is attached.</a:t>
          </a:r>
          <a:endParaRPr lang="en-US">
            <a:effectLst/>
          </a:endParaRP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In establishing the 2012-2013 biennial conservation targets, the District used the ‘utility specific analysis’ option</a:t>
          </a:r>
          <a:r>
            <a:rPr lang="en-US" sz="1100" baseline="0">
              <a:solidFill>
                <a:schemeClr val="dk1"/>
              </a:solidFill>
              <a:effectLst/>
              <a:latin typeface="+mn-lt"/>
              <a:ea typeface="+mn-ea"/>
              <a:cs typeface="+mn-cs"/>
            </a:rPr>
            <a:t> allowed under section 6 of WAC 194-37-070, filed 3/18/08, effective 4/18/08.</a:t>
          </a:r>
        </a:p>
        <a:p>
          <a:endParaRPr lang="en-US" sz="1100" baseline="0">
            <a:solidFill>
              <a:schemeClr val="dk1"/>
            </a:solidFill>
            <a:effectLst/>
            <a:latin typeface="+mn-lt"/>
            <a:ea typeface="+mn-ea"/>
            <a:cs typeface="+mn-cs"/>
          </a:endParaRPr>
        </a:p>
        <a:p>
          <a:r>
            <a:rPr lang="en-US" sz="1100">
              <a:solidFill>
                <a:schemeClr val="dk1"/>
              </a:solidFill>
              <a:effectLst/>
              <a:latin typeface="+mn-lt"/>
              <a:ea typeface="+mn-ea"/>
              <a:cs typeface="+mn-cs"/>
            </a:rPr>
            <a:t>The 10-year conservation potential assessment (CPA) estimate developed under the 2011 Mid-Term Assessment for the period 2012-2021 uses the 2010 IRP as its basis, and therefore reflects the actual savings achieved during the 2010-2011 biennium. The Mid-Term Assessment of the District’s CPA extends beyond the 10-year period considered for this biennium. </a:t>
          </a:r>
          <a:endParaRPr lang="en-US">
            <a:effectLst/>
          </a:endParaRPr>
        </a:p>
        <a:p>
          <a:pPr eaLnBrk="1" fontAlgn="auto" latinLnBrk="0" hangingPunct="1"/>
          <a:endParaRPr lang="en-US" sz="1100">
            <a:solidFill>
              <a:schemeClr val="dk1"/>
            </a:solidFill>
            <a:effectLst/>
            <a:latin typeface="+mn-lt"/>
            <a:ea typeface="+mn-ea"/>
            <a:cs typeface="+mn-cs"/>
          </a:endParaRPr>
        </a:p>
        <a:p>
          <a:pPr eaLnBrk="1" fontAlgn="auto" latinLnBrk="0" hangingPunct="1"/>
          <a:r>
            <a:rPr lang="en-US" sz="1100">
              <a:solidFill>
                <a:schemeClr val="dk1"/>
              </a:solidFill>
              <a:effectLst/>
              <a:latin typeface="+mn-lt"/>
              <a:ea typeface="+mn-ea"/>
              <a:cs typeface="+mn-cs"/>
            </a:rPr>
            <a:t>Achievement above the identified potential in earlier years diminishes the remaining potential in later years. This is significant as the District achieved higher savings than the potential assessment assumed for the 2010-2011 period. This higher savings achievement is the result of accelerated program activity, driven in part by state, federal, and regional initiatives.  </a:t>
          </a:r>
          <a:endParaRPr lang="en-US">
            <a:effectLst/>
          </a:endParaRPr>
        </a:p>
        <a:p>
          <a:endParaRPr lang="en-US" sz="1100"/>
        </a:p>
      </xdr:txBody>
    </xdr:sp>
    <xdr:clientData/>
  </xdr:twoCellAnchor>
  <xdr:twoCellAnchor>
    <xdr:from>
      <xdr:col>1</xdr:col>
      <xdr:colOff>9525</xdr:colOff>
      <xdr:row>59</xdr:row>
      <xdr:rowOff>66673</xdr:rowOff>
    </xdr:from>
    <xdr:to>
      <xdr:col>9</xdr:col>
      <xdr:colOff>628650</xdr:colOff>
      <xdr:row>83</xdr:row>
      <xdr:rowOff>95250</xdr:rowOff>
    </xdr:to>
    <xdr:sp macro="" textlink="">
      <xdr:nvSpPr>
        <xdr:cNvPr id="3" name="TextBox 2"/>
        <xdr:cNvSpPr txBox="1"/>
      </xdr:nvSpPr>
      <xdr:spPr>
        <a:xfrm>
          <a:off x="619125" y="11306173"/>
          <a:ext cx="5476875" cy="4600577"/>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aseline="0">
              <a:solidFill>
                <a:schemeClr val="dk1"/>
              </a:solidFill>
              <a:effectLst/>
              <a:latin typeface="+mn-lt"/>
              <a:ea typeface="+mn-ea"/>
              <a:cs typeface="+mn-cs"/>
            </a:rPr>
            <a:t> - All savings numbers expressed at busbar savings using BPA's busbar factor of 9.056%.</a:t>
          </a:r>
          <a:endParaRPr lang="en-US">
            <a:effectLst/>
          </a:endParaRPr>
        </a:p>
        <a:p>
          <a:r>
            <a:rPr lang="en-US" sz="1100" baseline="0">
              <a:solidFill>
                <a:schemeClr val="dk1"/>
              </a:solidFill>
              <a:effectLst/>
              <a:latin typeface="+mn-lt"/>
              <a:ea typeface="+mn-ea"/>
              <a:cs typeface="+mn-cs"/>
            </a:rPr>
            <a:t> - Snohomish PUD's Definition of "Overhead"includes but is not limited to:</a:t>
          </a:r>
          <a:endParaRPr lang="en-US">
            <a:effectLst/>
          </a:endParaRPr>
        </a:p>
        <a:p>
          <a:r>
            <a:rPr lang="en-US" sz="1100" baseline="0">
              <a:solidFill>
                <a:schemeClr val="dk1"/>
              </a:solidFill>
              <a:effectLst/>
              <a:latin typeface="+mn-lt"/>
              <a:ea typeface="+mn-ea"/>
              <a:cs typeface="+mn-cs"/>
            </a:rPr>
            <a:t>      - Costs incurred by the Energy Services Department not directly associated to actual incentives or</a:t>
          </a:r>
          <a:endParaRPr lang="en-US">
            <a:effectLst/>
          </a:endParaRPr>
        </a:p>
        <a:p>
          <a:r>
            <a:rPr lang="en-US" sz="1100" baseline="0">
              <a:solidFill>
                <a:schemeClr val="dk1"/>
              </a:solidFill>
              <a:effectLst/>
              <a:latin typeface="+mn-lt"/>
              <a:ea typeface="+mn-ea"/>
              <a:cs typeface="+mn-cs"/>
            </a:rPr>
            <a:t>         rebates for conservation acquisition.</a:t>
          </a:r>
          <a:endParaRPr lang="en-US">
            <a:effectLst/>
          </a:endParaRPr>
        </a:p>
        <a:p>
          <a:r>
            <a:rPr lang="en-US" sz="1100" baseline="0">
              <a:solidFill>
                <a:schemeClr val="dk1"/>
              </a:solidFill>
              <a:effectLst/>
              <a:latin typeface="+mn-lt"/>
              <a:ea typeface="+mn-ea"/>
              <a:cs typeface="+mn-cs"/>
            </a:rPr>
            <a:t>      - Employee benefits</a:t>
          </a:r>
          <a:endParaRPr lang="en-US">
            <a:effectLst/>
          </a:endParaRPr>
        </a:p>
        <a:p>
          <a:r>
            <a:rPr lang="en-US" sz="1100" baseline="0">
              <a:solidFill>
                <a:schemeClr val="dk1"/>
              </a:solidFill>
              <a:effectLst/>
              <a:latin typeface="+mn-lt"/>
              <a:ea typeface="+mn-ea"/>
              <a:cs typeface="+mn-cs"/>
            </a:rPr>
            <a:t>      - Program evaluation</a:t>
          </a:r>
        </a:p>
        <a:p>
          <a:r>
            <a:rPr lang="en-US" sz="1100" baseline="0">
              <a:solidFill>
                <a:schemeClr val="dk1"/>
              </a:solidFill>
              <a:effectLst/>
              <a:latin typeface="+mn-lt"/>
              <a:ea typeface="+mn-ea"/>
              <a:cs typeface="+mn-cs"/>
            </a:rPr>
            <a:t>- 2012 NEEA savings reported on 2013 Progress Report increased by 31.28 MWh due to updated data received from NEEA on 6.10.2013</a:t>
          </a:r>
        </a:p>
        <a:p>
          <a:endParaRPr lang="en-US" sz="1100" baseline="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a:effectLst/>
          </a:endParaRP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 </a:t>
          </a:r>
          <a:r>
            <a:rPr lang="en-US" sz="1100" baseline="0">
              <a:solidFill>
                <a:schemeClr val="dk1"/>
              </a:solidFill>
              <a:effectLst/>
              <a:latin typeface="+mn-lt"/>
              <a:ea typeface="+mn-ea"/>
              <a:cs typeface="+mn-cs"/>
            </a:rPr>
            <a:t> Attached zip file includes:</a:t>
          </a:r>
          <a:endParaRPr lang="en-US">
            <a:effectLst/>
          </a:endParaRPr>
        </a:p>
        <a:p>
          <a:r>
            <a:rPr lang="en-US" sz="1100" baseline="0">
              <a:solidFill>
                <a:schemeClr val="dk1"/>
              </a:solidFill>
              <a:effectLst/>
              <a:latin typeface="+mn-lt"/>
              <a:ea typeface="+mn-ea"/>
              <a:cs typeface="+mn-cs"/>
            </a:rPr>
            <a:t>     - Letter to Department of Commerce outlining 2012-2013 Conservation Targets</a:t>
          </a: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     - Letter to Department of Commerce outlining 2014-2015 Conservation Targets</a:t>
          </a:r>
          <a:endParaRPr lang="en-US">
            <a:effectLst/>
          </a:endParaRPr>
        </a:p>
        <a:p>
          <a:r>
            <a:rPr lang="en-US" sz="1100" baseline="0">
              <a:solidFill>
                <a:schemeClr val="dk1"/>
              </a:solidFill>
              <a:effectLst/>
              <a:latin typeface="+mn-lt"/>
              <a:ea typeface="+mn-ea"/>
              <a:cs typeface="+mn-cs"/>
            </a:rPr>
            <a:t>     - Commission Resolution 5570 approving 2012-2013 Conservation Targets</a:t>
          </a: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     - Commission Resolution 5655 approving 2014-2015 Conservation Targets</a:t>
          </a:r>
          <a:endParaRPr lang="en-US">
            <a:effectLst/>
          </a:endParaRPr>
        </a:p>
        <a:p>
          <a:endParaRPr lang="en-US">
            <a:effectLst/>
          </a:endParaRPr>
        </a:p>
        <a:p>
          <a:endParaRPr lang="en-US" sz="1100"/>
        </a:p>
      </xdr:txBody>
    </xdr:sp>
    <xdr:clientData/>
  </xdr:twoCellAnchor>
  <xdr:twoCellAnchor>
    <xdr:from>
      <xdr:col>8</xdr:col>
      <xdr:colOff>247650</xdr:colOff>
      <xdr:row>15</xdr:row>
      <xdr:rowOff>361950</xdr:rowOff>
    </xdr:from>
    <xdr:to>
      <xdr:col>9</xdr:col>
      <xdr:colOff>552450</xdr:colOff>
      <xdr:row>24</xdr:row>
      <xdr:rowOff>19050</xdr:rowOff>
    </xdr:to>
    <xdr:sp macro="" textlink="">
      <xdr:nvSpPr>
        <xdr:cNvPr id="4" name="TextBox 3"/>
        <xdr:cNvSpPr txBox="1"/>
      </xdr:nvSpPr>
      <xdr:spPr>
        <a:xfrm>
          <a:off x="5124450" y="3048000"/>
          <a:ext cx="914400" cy="1543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mc:AlternateContent xmlns:mc="http://schemas.openxmlformats.org/markup-compatibility/2006">
    <mc:Choice xmlns:a14="http://schemas.microsoft.com/office/drawing/2010/main" Requires="a14">
      <xdr:twoCellAnchor editAs="oneCell">
        <xdr:from>
          <xdr:col>1</xdr:col>
          <xdr:colOff>266700</xdr:colOff>
          <xdr:row>69</xdr:row>
          <xdr:rowOff>114300</xdr:rowOff>
        </xdr:from>
        <xdr:to>
          <xdr:col>1</xdr:col>
          <xdr:colOff>1095375</xdr:colOff>
          <xdr:row>72</xdr:row>
          <xdr:rowOff>142875</xdr:rowOff>
        </xdr:to>
        <xdr:sp macro="" textlink="">
          <xdr:nvSpPr>
            <xdr:cNvPr id="11265" name="Object 1"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180974</xdr:colOff>
      <xdr:row>101</xdr:row>
      <xdr:rowOff>0</xdr:rowOff>
    </xdr:from>
    <xdr:to>
      <xdr:col>14</xdr:col>
      <xdr:colOff>609599</xdr:colOff>
      <xdr:row>109</xdr:row>
      <xdr:rowOff>9526</xdr:rowOff>
    </xdr:to>
    <xdr:sp macro="" textlink="">
      <xdr:nvSpPr>
        <xdr:cNvPr id="2" name="TextBox 1"/>
        <xdr:cNvSpPr txBox="1"/>
      </xdr:nvSpPr>
      <xdr:spPr>
        <a:xfrm>
          <a:off x="180974" y="20326350"/>
          <a:ext cx="11134725" cy="1419226"/>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a:t>Attachment A shows </a:t>
          </a:r>
          <a:r>
            <a:rPr lang="en-US" sz="1100" baseline="0">
              <a:solidFill>
                <a:schemeClr val="dk1"/>
              </a:solidFill>
              <a:effectLst/>
              <a:latin typeface="+mn-lt"/>
              <a:ea typeface="+mn-ea"/>
              <a:cs typeface="+mn-cs"/>
            </a:rPr>
            <a:t>Resolution No. 5661 of the Snohomish County Public Utility District No. 1's Board of Commissioners  approved on December  17, 2013.  Through this resolution  the Snohomish County PUD's 2014 Budget was approved, which includes the 2014 annual retail revenue requirement.</a:t>
          </a:r>
          <a:r>
            <a:rPr lang="en-US" baseline="0"/>
            <a:t>  </a:t>
          </a:r>
        </a:p>
        <a:p>
          <a:r>
            <a:rPr lang="en-US" baseline="0"/>
            <a:t>Attachment B provides Snohomish PUD's Annual Levelized Cost by resource, the Annual Levelized Cost of the alternate resource, and the PPI adjusted annual incremental cost by resource.  </a:t>
          </a:r>
        </a:p>
        <a:p>
          <a:r>
            <a:rPr lang="en-US" baseline="0"/>
            <a:t>Attachment C describes the steps Snohomish PUD followed to perform its calculation.  </a:t>
          </a:r>
        </a:p>
        <a:p>
          <a:r>
            <a:rPr lang="en-US" baseline="0"/>
            <a:t>Attachment D provides the PPI table used to calculate the annual inflation as required by WAC 194-37-170 (2).  </a:t>
          </a:r>
          <a:r>
            <a:rPr lang="en-US" i="1" baseline="0"/>
            <a:t>Note:  the PPI for 2013 is still provisional.</a:t>
          </a:r>
        </a:p>
        <a:p>
          <a:endParaRPr lang="en-US" i="1"/>
        </a:p>
      </xdr:txBody>
    </xdr:sp>
    <xdr:clientData/>
  </xdr:twoCellAnchor>
  <xdr:twoCellAnchor>
    <xdr:from>
      <xdr:col>0</xdr:col>
      <xdr:colOff>161925</xdr:colOff>
      <xdr:row>111</xdr:row>
      <xdr:rowOff>133350</xdr:rowOff>
    </xdr:from>
    <xdr:to>
      <xdr:col>14</xdr:col>
      <xdr:colOff>647701</xdr:colOff>
      <xdr:row>136</xdr:row>
      <xdr:rowOff>82827</xdr:rowOff>
    </xdr:to>
    <xdr:sp macro="" textlink="">
      <xdr:nvSpPr>
        <xdr:cNvPr id="3" name="TextBox 2">
          <a:hlinkClick xmlns:r="http://schemas.openxmlformats.org/officeDocument/2006/relationships" r:id="rId1" tooltip="http://www.snopud.com/Site/Content/Documents/finance/AR13_web.pdf"/>
        </xdr:cNvPr>
        <xdr:cNvSpPr txBox="1"/>
      </xdr:nvSpPr>
      <xdr:spPr>
        <a:xfrm>
          <a:off x="161925" y="22193250"/>
          <a:ext cx="11191876" cy="3997602"/>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A) Annual loads </a:t>
          </a:r>
          <a:r>
            <a:rPr lang="en-US" sz="1100" b="0">
              <a:solidFill>
                <a:schemeClr val="dk1"/>
              </a:solidFill>
              <a:effectLst/>
              <a:latin typeface="+mn-lt"/>
              <a:ea typeface="+mn-ea"/>
              <a:cs typeface="+mn-cs"/>
            </a:rPr>
            <a:t>are </a:t>
          </a:r>
          <a:r>
            <a:rPr lang="en-US" sz="1100">
              <a:solidFill>
                <a:schemeClr val="dk1"/>
              </a:solidFill>
              <a:effectLst/>
              <a:latin typeface="+mn-lt"/>
              <a:ea typeface="+mn-ea"/>
              <a:cs typeface="+mn-cs"/>
            </a:rPr>
            <a:t>from</a:t>
          </a:r>
          <a:r>
            <a:rPr lang="en-US" sz="1100" baseline="0">
              <a:solidFill>
                <a:schemeClr val="dk1"/>
              </a:solidFill>
              <a:effectLst/>
              <a:latin typeface="+mn-lt"/>
              <a:ea typeface="+mn-ea"/>
              <a:cs typeface="+mn-cs"/>
            </a:rPr>
            <a:t> Snohomish County PUD No.1's 2013 Annual Report, based on a calculation computed from total MWhs sold less wholesale power sales, or Annual Retail Sales.  The Snohomish 2013 Annual Report can be found at:  http://www.snopud.com/Site/Content/Documents/finance/AR13_web.pdf</a:t>
          </a:r>
          <a:endParaRPr lang="en-US">
            <a:effectLst/>
          </a:endParaRPr>
        </a:p>
        <a:p>
          <a:r>
            <a:rPr lang="en-US" sz="1100" b="1" baseline="0">
              <a:solidFill>
                <a:schemeClr val="dk1"/>
              </a:solidFill>
              <a:effectLst/>
              <a:latin typeface="+mn-lt"/>
              <a:ea typeface="+mn-ea"/>
              <a:cs typeface="+mn-cs"/>
            </a:rPr>
            <a:t>B) "Renewable Resources" table </a:t>
          </a:r>
          <a:r>
            <a:rPr lang="en-US" sz="1100" b="0" baseline="0">
              <a:solidFill>
                <a:schemeClr val="dk1"/>
              </a:solidFill>
              <a:effectLst/>
              <a:latin typeface="+mn-lt"/>
              <a:ea typeface="+mn-ea"/>
              <a:cs typeface="+mn-cs"/>
            </a:rPr>
            <a:t>(p.2) includes  renewable resources Snohomish PUD has acquired/contracted for prior to January 1, 2014.  Megawatt hour production ifor 2014 includes actual metered generation through March 2014 and </a:t>
          </a:r>
          <a:r>
            <a:rPr lang="en-US" sz="1100" baseline="0">
              <a:solidFill>
                <a:schemeClr val="dk1"/>
              </a:solidFill>
              <a:effectLst/>
              <a:latin typeface="+mn-lt"/>
              <a:ea typeface="+mn-ea"/>
              <a:cs typeface="+mn-cs"/>
            </a:rPr>
            <a:t>budget projections  for the April 2014 through Dec 2014 period.</a:t>
          </a:r>
          <a:r>
            <a:rPr lang="en-US" sz="1100" b="0" baseline="0">
              <a:solidFill>
                <a:schemeClr val="dk1"/>
              </a:solidFill>
              <a:effectLst/>
              <a:latin typeface="+mn-lt"/>
              <a:ea typeface="+mn-ea"/>
              <a:cs typeface="+mn-cs"/>
            </a:rPr>
            <a:t> </a:t>
          </a:r>
          <a:endParaRPr lang="en-US">
            <a:effectLst/>
          </a:endParaRPr>
        </a:p>
        <a:p>
          <a:r>
            <a:rPr lang="en-US" sz="1100" b="1" baseline="0">
              <a:solidFill>
                <a:schemeClr val="dk1"/>
              </a:solidFill>
              <a:effectLst/>
              <a:latin typeface="+mn-lt"/>
              <a:ea typeface="+mn-ea"/>
              <a:cs typeface="+mn-cs"/>
            </a:rPr>
            <a:t>C) "Renewable Energy Credits" table </a:t>
          </a:r>
          <a:r>
            <a:rPr lang="en-US" sz="1100" b="0" baseline="0">
              <a:solidFill>
                <a:schemeClr val="dk1"/>
              </a:solidFill>
              <a:effectLst/>
              <a:latin typeface="+mn-lt"/>
              <a:ea typeface="+mn-ea"/>
              <a:cs typeface="+mn-cs"/>
            </a:rPr>
            <a:t>(p.3) includes a forecast of BPA allocated Tier 1 System RECs for 2014, RECs forecast to be acquired from the  Snohomish PUD's Solar Express projects, REC multiplier equivalents, as well as vintage 2013 RECs carried over from the Hay Canyon wind project and the BPA Tier 1 System RECs allocation.</a:t>
          </a:r>
          <a:endParaRPr lang="en-US">
            <a:effectLst/>
          </a:endParaRPr>
        </a:p>
        <a:p>
          <a:r>
            <a:rPr lang="en-US" sz="1100" b="1" baseline="0">
              <a:solidFill>
                <a:schemeClr val="dk1"/>
              </a:solidFill>
              <a:effectLst/>
              <a:latin typeface="+mn-lt"/>
              <a:ea typeface="+mn-ea"/>
              <a:cs typeface="+mn-cs"/>
            </a:rPr>
            <a:t>D) "BPA Tier 1" </a:t>
          </a:r>
          <a:r>
            <a:rPr lang="en-US" sz="1100" b="0" baseline="0">
              <a:solidFill>
                <a:schemeClr val="dk1"/>
              </a:solidFill>
              <a:effectLst/>
              <a:latin typeface="+mn-lt"/>
              <a:ea typeface="+mn-ea"/>
              <a:cs typeface="+mn-cs"/>
            </a:rPr>
            <a:t>(p.3) refers to allocated RECs from the Bonneville Power Administration's Tier 1 System in accordance with Snohomish PUD's BPA Regional Dialogue power supply contract.  The 2014 estimate is based on  the actual 2013 RECs transferred to Snohomish PUD from BPA. </a:t>
          </a:r>
          <a:endParaRPr lang="en-US">
            <a:effectLst/>
          </a:endParaRPr>
        </a:p>
        <a:p>
          <a:pPr eaLnBrk="1" fontAlgn="auto" latinLnBrk="0" hangingPunct="1"/>
          <a:r>
            <a:rPr lang="en-US" sz="1100" b="1" baseline="0">
              <a:solidFill>
                <a:schemeClr val="dk1"/>
              </a:solidFill>
              <a:effectLst/>
              <a:latin typeface="+mn-lt"/>
              <a:ea typeface="+mn-ea"/>
              <a:cs typeface="+mn-cs"/>
            </a:rPr>
            <a:t>E) "</a:t>
          </a:r>
          <a:r>
            <a:rPr lang="en-US" sz="1100" b="1">
              <a:solidFill>
                <a:schemeClr val="dk1"/>
              </a:solidFill>
              <a:effectLst/>
              <a:latin typeface="+mn-lt"/>
              <a:ea typeface="+mn-ea"/>
              <a:cs typeface="+mn-cs"/>
            </a:rPr>
            <a:t>Snohomish PUD Solar Express Projects"</a:t>
          </a:r>
          <a:r>
            <a:rPr lang="en-US" sz="1100" b="0">
              <a:solidFill>
                <a:schemeClr val="dk1"/>
              </a:solidFill>
              <a:effectLst/>
              <a:latin typeface="+mn-lt"/>
              <a:ea typeface="+mn-ea"/>
              <a:cs typeface="+mn-cs"/>
            </a:rPr>
            <a:t> </a:t>
          </a:r>
          <a:r>
            <a:rPr lang="en-US" sz="1100" b="0" baseline="0">
              <a:solidFill>
                <a:schemeClr val="dk1"/>
              </a:solidFill>
              <a:effectLst/>
              <a:latin typeface="+mn-lt"/>
              <a:ea typeface="+mn-ea"/>
              <a:cs typeface="+mn-cs"/>
            </a:rPr>
            <a:t>(p.2) </a:t>
          </a:r>
          <a:r>
            <a:rPr lang="en-US" sz="1100" baseline="0">
              <a:solidFill>
                <a:schemeClr val="dk1"/>
              </a:solidFill>
              <a:effectLst/>
              <a:latin typeface="+mn-lt"/>
              <a:ea typeface="+mn-ea"/>
              <a:cs typeface="+mn-cs"/>
            </a:rPr>
            <a:t>refer to customer-owned solar photovoltaic (PV) projects that have been incentivized through the Snohomish PUD's Solar Express Program.  Customers with solar PV systems enrolled in the Solar Express Program agree, as a condition of receiving a program incentive, that Snohomish PUD owns all RECs .  These RECs qualify for the 2X distributed generation multiplier.</a:t>
          </a:r>
          <a:endParaRPr lang="en-US">
            <a:effectLst/>
          </a:endParaRPr>
        </a:p>
        <a:p>
          <a:r>
            <a:rPr lang="en-US" sz="1100" b="1" baseline="0">
              <a:solidFill>
                <a:schemeClr val="dk1"/>
              </a:solidFill>
              <a:effectLst/>
              <a:latin typeface="+mn-lt"/>
              <a:ea typeface="+mn-ea"/>
              <a:cs typeface="+mn-cs"/>
            </a:rPr>
            <a:t>F) "Woods Creek Hydroelectric Project</a:t>
          </a:r>
          <a:r>
            <a:rPr lang="en-US" sz="1100" b="0" baseline="0">
              <a:solidFill>
                <a:schemeClr val="dk1"/>
              </a:solidFill>
              <a:effectLst/>
              <a:latin typeface="+mn-lt"/>
              <a:ea typeface="+mn-ea"/>
              <a:cs typeface="+mn-cs"/>
            </a:rPr>
            <a:t>" (p.2) </a:t>
          </a:r>
          <a:r>
            <a:rPr lang="en-US" sz="1100" baseline="0">
              <a:solidFill>
                <a:schemeClr val="dk1"/>
              </a:solidFill>
              <a:effectLst/>
              <a:latin typeface="+mn-lt"/>
              <a:ea typeface="+mn-ea"/>
              <a:cs typeface="+mn-cs"/>
            </a:rPr>
            <a:t>refers to the incremental electricity produced by the 0.65 megawatt (MW) Woods Creek Hydroelectric Project located in Snohomish County, WA.  </a:t>
          </a:r>
          <a:endParaRPr lang="en-US">
            <a:effectLst/>
          </a:endParaRPr>
        </a:p>
        <a:p>
          <a:r>
            <a:rPr lang="en-US" sz="1100" b="1" baseline="0">
              <a:solidFill>
                <a:schemeClr val="dk1"/>
              </a:solidFill>
              <a:effectLst/>
              <a:latin typeface="+mn-lt"/>
              <a:ea typeface="+mn-ea"/>
              <a:cs typeface="+mn-cs"/>
            </a:rPr>
            <a:t>G) "Hampton Generating Unit"</a:t>
          </a:r>
          <a:r>
            <a:rPr lang="en-US" sz="1100" baseline="0">
              <a:solidFill>
                <a:schemeClr val="dk1"/>
              </a:solidFill>
              <a:effectLst/>
              <a:latin typeface="+mn-lt"/>
              <a:ea typeface="+mn-ea"/>
              <a:cs typeface="+mn-cs"/>
            </a:rPr>
            <a:t> </a:t>
          </a:r>
          <a:r>
            <a:rPr lang="en-US" sz="1100" b="0" baseline="0">
              <a:solidFill>
                <a:schemeClr val="dk1"/>
              </a:solidFill>
              <a:effectLst/>
              <a:latin typeface="+mn-lt"/>
              <a:ea typeface="+mn-ea"/>
              <a:cs typeface="+mn-cs"/>
            </a:rPr>
            <a:t>(p.2)</a:t>
          </a:r>
          <a:r>
            <a:rPr lang="en-US" sz="1100" b="1" baseline="0">
              <a:solidFill>
                <a:schemeClr val="dk1"/>
              </a:solidFill>
              <a:effectLst/>
              <a:latin typeface="+mn-lt"/>
              <a:ea typeface="+mn-ea"/>
              <a:cs typeface="+mn-cs"/>
            </a:rPr>
            <a:t> </a:t>
          </a:r>
          <a:r>
            <a:rPr lang="en-US" sz="1100" baseline="0">
              <a:solidFill>
                <a:schemeClr val="dk1"/>
              </a:solidFill>
              <a:effectLst/>
              <a:latin typeface="+mn-lt"/>
              <a:ea typeface="+mn-ea"/>
              <a:cs typeface="+mn-cs"/>
            </a:rPr>
            <a:t>refers to the 4.5 MW biomass generating unit located in Darrington, Washington.   Snohomish PUD contracts for 100% of the energy and RECs through a long-term power purchase agreement (PPA) executed on 8/7/06 and subsequently amended 12/1/11. This project qualifies for the 2X distributed generation multiplier.</a:t>
          </a:r>
          <a:endParaRPr lang="en-US">
            <a:effectLst/>
          </a:endParaRPr>
        </a:p>
        <a:p>
          <a:r>
            <a:rPr lang="en-US" sz="1100" b="1" baseline="0">
              <a:solidFill>
                <a:schemeClr val="dk1"/>
              </a:solidFill>
              <a:effectLst/>
              <a:latin typeface="+mn-lt"/>
              <a:ea typeface="+mn-ea"/>
              <a:cs typeface="+mn-cs"/>
            </a:rPr>
            <a:t>H) "</a:t>
          </a:r>
          <a:r>
            <a:rPr lang="en-US" sz="1100" b="1">
              <a:solidFill>
                <a:schemeClr val="dk1"/>
              </a:solidFill>
              <a:effectLst/>
              <a:latin typeface="+mn-lt"/>
              <a:ea typeface="+mn-ea"/>
              <a:cs typeface="+mn-cs"/>
            </a:rPr>
            <a:t>Hay Canyon Wind Facility"</a:t>
          </a:r>
          <a:r>
            <a:rPr lang="en-US" sz="1100">
              <a:solidFill>
                <a:schemeClr val="dk1"/>
              </a:solidFill>
              <a:effectLst/>
              <a:latin typeface="+mn-lt"/>
              <a:ea typeface="+mn-ea"/>
              <a:cs typeface="+mn-cs"/>
            </a:rPr>
            <a:t> </a:t>
          </a:r>
          <a:r>
            <a:rPr lang="en-US" sz="1100" b="0">
              <a:solidFill>
                <a:schemeClr val="dk1"/>
              </a:solidFill>
              <a:effectLst/>
              <a:latin typeface="+mn-lt"/>
              <a:ea typeface="+mn-ea"/>
              <a:cs typeface="+mn-cs"/>
            </a:rPr>
            <a:t>(p.2) </a:t>
          </a:r>
          <a:r>
            <a:rPr lang="en-US" sz="1100">
              <a:solidFill>
                <a:schemeClr val="dk1"/>
              </a:solidFill>
              <a:effectLst/>
              <a:latin typeface="+mn-lt"/>
              <a:ea typeface="+mn-ea"/>
              <a:cs typeface="+mn-cs"/>
            </a:rPr>
            <a:t>refers to a wind facility </a:t>
          </a:r>
          <a:r>
            <a:rPr lang="en-US" sz="1100" baseline="0">
              <a:solidFill>
                <a:schemeClr val="dk1"/>
              </a:solidFill>
              <a:effectLst/>
              <a:latin typeface="+mn-lt"/>
              <a:ea typeface="+mn-ea"/>
              <a:cs typeface="+mn-cs"/>
            </a:rPr>
            <a:t>located in Sherman County, Oregon.  Reference WREGIS Generating Unit (GU) ID # W978.  Snohomish PUD contracts for 100% of the energy and RECs through two long-term PPAs executed on 2/2/09.</a:t>
          </a:r>
          <a:endParaRPr lang="en-US">
            <a:effectLst/>
          </a:endParaRPr>
        </a:p>
        <a:p>
          <a:r>
            <a:rPr lang="en-US" sz="1100" b="1" baseline="0">
              <a:solidFill>
                <a:schemeClr val="dk1"/>
              </a:solidFill>
              <a:effectLst/>
              <a:latin typeface="+mn-lt"/>
              <a:ea typeface="+mn-ea"/>
              <a:cs typeface="+mn-cs"/>
            </a:rPr>
            <a:t>I) "</a:t>
          </a:r>
          <a:r>
            <a:rPr lang="en-US" sz="1100" b="1">
              <a:solidFill>
                <a:schemeClr val="dk1"/>
              </a:solidFill>
              <a:effectLst/>
              <a:latin typeface="+mn-lt"/>
              <a:ea typeface="+mn-ea"/>
              <a:cs typeface="+mn-cs"/>
            </a:rPr>
            <a:t>Wheat Field Wind Power Project"</a:t>
          </a:r>
          <a:r>
            <a:rPr lang="en-US" sz="1100">
              <a:solidFill>
                <a:schemeClr val="dk1"/>
              </a:solidFill>
              <a:effectLst/>
              <a:latin typeface="+mn-lt"/>
              <a:ea typeface="+mn-ea"/>
              <a:cs typeface="+mn-cs"/>
            </a:rPr>
            <a:t> </a:t>
          </a:r>
          <a:r>
            <a:rPr lang="en-US" sz="1100" b="0">
              <a:solidFill>
                <a:schemeClr val="dk1"/>
              </a:solidFill>
              <a:effectLst/>
              <a:latin typeface="+mn-lt"/>
              <a:ea typeface="+mn-ea"/>
              <a:cs typeface="+mn-cs"/>
            </a:rPr>
            <a:t>(p.3) </a:t>
          </a:r>
          <a:r>
            <a:rPr lang="en-US" sz="1100">
              <a:solidFill>
                <a:schemeClr val="dk1"/>
              </a:solidFill>
              <a:effectLst/>
              <a:latin typeface="+mn-lt"/>
              <a:ea typeface="+mn-ea"/>
              <a:cs typeface="+mn-cs"/>
            </a:rPr>
            <a:t>is located in Gilliam County,</a:t>
          </a:r>
          <a:r>
            <a:rPr lang="en-US" sz="1100" baseline="0">
              <a:solidFill>
                <a:schemeClr val="dk1"/>
              </a:solidFill>
              <a:effectLst/>
              <a:latin typeface="+mn-lt"/>
              <a:ea typeface="+mn-ea"/>
              <a:cs typeface="+mn-cs"/>
            </a:rPr>
            <a:t> Oregon.  R</a:t>
          </a:r>
          <a:r>
            <a:rPr lang="en-US" sz="1100">
              <a:solidFill>
                <a:schemeClr val="dk1"/>
              </a:solidFill>
              <a:effectLst/>
              <a:latin typeface="+mn-lt"/>
              <a:ea typeface="+mn-ea"/>
              <a:cs typeface="+mn-cs"/>
            </a:rPr>
            <a:t>eference WREGIS GU</a:t>
          </a:r>
          <a:r>
            <a:rPr lang="en-US" sz="1100" baseline="0">
              <a:solidFill>
                <a:schemeClr val="dk1"/>
              </a:solidFill>
              <a:effectLst/>
              <a:latin typeface="+mn-lt"/>
              <a:ea typeface="+mn-ea"/>
              <a:cs typeface="+mn-cs"/>
            </a:rPr>
            <a:t> ID# W806.  Snohomish PUD contracts for  100% of the energy and RECs through a long-term PPA executed on 8/26/08.</a:t>
          </a:r>
          <a:endParaRPr lang="en-US">
            <a:effectLst/>
          </a:endParaRPr>
        </a:p>
        <a:p>
          <a:r>
            <a:rPr lang="en-US" sz="1100" b="1" baseline="0">
              <a:solidFill>
                <a:schemeClr val="dk1"/>
              </a:solidFill>
              <a:effectLst/>
              <a:latin typeface="+mn-lt"/>
              <a:ea typeface="+mn-ea"/>
              <a:cs typeface="+mn-cs"/>
            </a:rPr>
            <a:t>J) "</a:t>
          </a:r>
          <a:r>
            <a:rPr lang="en-US" sz="1100" b="1">
              <a:solidFill>
                <a:schemeClr val="dk1"/>
              </a:solidFill>
              <a:effectLst/>
              <a:latin typeface="+mn-lt"/>
              <a:ea typeface="+mn-ea"/>
              <a:cs typeface="+mn-cs"/>
            </a:rPr>
            <a:t>White Creek Wind Project"</a:t>
          </a:r>
          <a:r>
            <a:rPr lang="en-US" sz="1100" baseline="0">
              <a:solidFill>
                <a:schemeClr val="dk1"/>
              </a:solidFill>
              <a:effectLst/>
              <a:latin typeface="+mn-lt"/>
              <a:ea typeface="+mn-ea"/>
              <a:cs typeface="+mn-cs"/>
            </a:rPr>
            <a:t> </a:t>
          </a:r>
          <a:r>
            <a:rPr lang="en-US" sz="1100" b="0">
              <a:solidFill>
                <a:schemeClr val="dk1"/>
              </a:solidFill>
              <a:effectLst/>
              <a:latin typeface="+mn-lt"/>
              <a:ea typeface="+mn-ea"/>
              <a:cs typeface="+mn-cs"/>
            </a:rPr>
            <a:t>(p.3) </a:t>
          </a:r>
          <a:r>
            <a:rPr lang="en-US" sz="1100" baseline="0">
              <a:solidFill>
                <a:schemeClr val="dk1"/>
              </a:solidFill>
              <a:effectLst/>
              <a:latin typeface="+mn-lt"/>
              <a:ea typeface="+mn-ea"/>
              <a:cs typeface="+mn-cs"/>
            </a:rPr>
            <a:t>is located in Klickitat County, Washington.  Reference WREGIS Generating Unit (GU) ID # W360.  Snohomish PUD contracts for a 20 MW capacity share of the project that includes both energy and RECs, through a long-term PPA executed on 5/10/07.</a:t>
          </a:r>
        </a:p>
        <a:p>
          <a:r>
            <a:rPr lang="en-US" b="1"/>
            <a:t>K) "Qualco Energy Corporation" </a:t>
          </a:r>
          <a:r>
            <a:rPr lang="en-US" b="0"/>
            <a:t>(p.2)</a:t>
          </a:r>
          <a:r>
            <a:rPr lang="en-US" b="0" baseline="0"/>
            <a:t> </a:t>
          </a:r>
          <a:r>
            <a:rPr lang="en-US" sz="1100" baseline="0">
              <a:solidFill>
                <a:schemeClr val="dk1"/>
              </a:solidFill>
              <a:effectLst/>
              <a:latin typeface="+mn-lt"/>
              <a:ea typeface="+mn-ea"/>
              <a:cs typeface="+mn-cs"/>
            </a:rPr>
            <a:t>refers to the .45 MW bio-digester generating unit located in Monroe, Washington.   Snohomish PUD contracts for  100% of the energy and non-power attributes through a long-term PPA executed on 12/26/2013. This project qualifies for the 2x distributed generation multiplier.</a:t>
          </a:r>
          <a:endParaRPr lang="en-US" b="1">
            <a:effectLst/>
          </a:endParaRPr>
        </a:p>
      </xdr:txBody>
    </xdr:sp>
    <xdr:clientData/>
  </xdr:twoCellAnchor>
  <xdr:twoCellAnchor>
    <xdr:from>
      <xdr:col>1</xdr:col>
      <xdr:colOff>19051</xdr:colOff>
      <xdr:row>20</xdr:row>
      <xdr:rowOff>152401</xdr:rowOff>
    </xdr:from>
    <xdr:to>
      <xdr:col>14</xdr:col>
      <xdr:colOff>514350</xdr:colOff>
      <xdr:row>33</xdr:row>
      <xdr:rowOff>66675</xdr:rowOff>
    </xdr:to>
    <xdr:sp macro="" textlink="">
      <xdr:nvSpPr>
        <xdr:cNvPr id="4" name="TextBox 3"/>
        <xdr:cNvSpPr txBox="1"/>
      </xdr:nvSpPr>
      <xdr:spPr>
        <a:xfrm>
          <a:off x="200026" y="4581526"/>
          <a:ext cx="1102042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2014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2014 for the purpose of meeting its Energy Independence Act (EIA) renewables target for 2014. The actual resources and RECs used to comply with the 2014 EIA target may vary from those reported here. Utilities will report in June of 2016 on the actual results for 2014.</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2014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2014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2</xdr:col>
          <xdr:colOff>19050</xdr:colOff>
          <xdr:row>8</xdr:row>
          <xdr:rowOff>9525</xdr:rowOff>
        </xdr:from>
        <xdr:to>
          <xdr:col>4</xdr:col>
          <xdr:colOff>571500</xdr:colOff>
          <xdr:row>9</xdr:row>
          <xdr:rowOff>19050</xdr:rowOff>
        </xdr:to>
        <xdr:sp macro="" textlink="">
          <xdr:nvSpPr>
            <xdr:cNvPr id="5448" name="Check Box 328" hidden="1">
              <a:extLst>
                <a:ext uri="{63B3BB69-23CF-44E3-9099-C40C66FF867C}">
                  <a14:compatExt spid="_x0000_s54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9</xdr:row>
          <xdr:rowOff>28575</xdr:rowOff>
        </xdr:from>
        <xdr:to>
          <xdr:col>5</xdr:col>
          <xdr:colOff>0</xdr:colOff>
          <xdr:row>10</xdr:row>
          <xdr:rowOff>28575</xdr:rowOff>
        </xdr:to>
        <xdr:sp macro="" textlink="">
          <xdr:nvSpPr>
            <xdr:cNvPr id="5449" name="Check Box 329" hidden="1">
              <a:extLst>
                <a:ext uri="{63B3BB69-23CF-44E3-9099-C40C66FF867C}">
                  <a14:compatExt spid="_x0000_s54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10</xdr:row>
          <xdr:rowOff>66675</xdr:rowOff>
        </xdr:from>
        <xdr:to>
          <xdr:col>5</xdr:col>
          <xdr:colOff>114300</xdr:colOff>
          <xdr:row>11</xdr:row>
          <xdr:rowOff>9525</xdr:rowOff>
        </xdr:to>
        <xdr:sp macro="" textlink="">
          <xdr:nvSpPr>
            <xdr:cNvPr id="5450" name="Check Box 330" hidden="1">
              <a:extLst>
                <a:ext uri="{63B3BB69-23CF-44E3-9099-C40C66FF867C}">
                  <a14:compatExt spid="_x0000_s54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57150</xdr:colOff>
          <xdr:row>104</xdr:row>
          <xdr:rowOff>66675</xdr:rowOff>
        </xdr:from>
        <xdr:to>
          <xdr:col>13</xdr:col>
          <xdr:colOff>161925</xdr:colOff>
          <xdr:row>107</xdr:row>
          <xdr:rowOff>66675</xdr:rowOff>
        </xdr:to>
        <xdr:sp macro="" textlink="">
          <xdr:nvSpPr>
            <xdr:cNvPr id="5453" name="Object 333" hidden="1">
              <a:extLst>
                <a:ext uri="{63B3BB69-23CF-44E3-9099-C40C66FF867C}">
                  <a14:compatExt spid="_x0000_s5453"/>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zcyanez\AppData\Local\Microsoft\Windows\Temporary%20Internet%20Files\Content.Outlook\ZCH1V4AQ\EIA_2014%20ReportWorkbook_DRAFT%203-27-201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zcyanez\AppData\Local\Microsoft\Windows\Temporary%20Internet%20Files\Content.Outlook\ZCH1V4AQ\EIA-2014-ReportWorkbook-5-1-20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row r="29">
          <cell r="D29">
            <v>0</v>
          </cell>
          <cell r="G29">
            <v>0</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 2014"/>
      <sheetName val="Instructions - Revise 2012"/>
      <sheetName val="Conservation Report"/>
      <sheetName val="Renewables Report"/>
      <sheetName val="Data"/>
    </sheetNames>
    <sheetDataSet>
      <sheetData sheetId="0" refreshError="1"/>
      <sheetData sheetId="1" refreshError="1"/>
      <sheetData sheetId="2"/>
      <sheetData sheetId="3">
        <row r="8">
          <cell r="N8">
            <v>0</v>
          </cell>
        </row>
        <row r="13">
          <cell r="N13" t="str">
            <v/>
          </cell>
        </row>
        <row r="18">
          <cell r="C18">
            <v>0</v>
          </cell>
          <cell r="D18">
            <v>0</v>
          </cell>
          <cell r="E18">
            <v>0</v>
          </cell>
          <cell r="F18">
            <v>0</v>
          </cell>
          <cell r="G18">
            <v>0</v>
          </cell>
          <cell r="H18">
            <v>0</v>
          </cell>
          <cell r="I18">
            <v>0</v>
          </cell>
          <cell r="J18">
            <v>0</v>
          </cell>
          <cell r="K18">
            <v>0</v>
          </cell>
          <cell r="L18">
            <v>0</v>
          </cell>
        </row>
        <row r="19">
          <cell r="D19">
            <v>0</v>
          </cell>
          <cell r="E19">
            <v>0</v>
          </cell>
          <cell r="F19">
            <v>0</v>
          </cell>
          <cell r="G19">
            <v>0</v>
          </cell>
          <cell r="H19">
            <v>0</v>
          </cell>
          <cell r="I19">
            <v>0</v>
          </cell>
          <cell r="J19">
            <v>0</v>
          </cell>
          <cell r="K19">
            <v>0</v>
          </cell>
          <cell r="L19">
            <v>0</v>
          </cell>
          <cell r="M19">
            <v>0</v>
          </cell>
        </row>
      </sheetData>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jamitchell@snopud.com"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xml"/><Relationship Id="rId3" Type="http://schemas.openxmlformats.org/officeDocument/2006/relationships/drawing" Target="../drawings/drawing2.xml"/><Relationship Id="rId7" Type="http://schemas.openxmlformats.org/officeDocument/2006/relationships/ctrlProp" Target="../ctrlProps/ctrlProp1.xml"/><Relationship Id="rId2" Type="http://schemas.openxmlformats.org/officeDocument/2006/relationships/printerSettings" Target="../printerSettings/printerSettings4.bin"/><Relationship Id="rId1" Type="http://schemas.openxmlformats.org/officeDocument/2006/relationships/hyperlink" Target="mailto:AJBerg@snopud.com" TargetMode="External"/><Relationship Id="rId6" Type="http://schemas.openxmlformats.org/officeDocument/2006/relationships/image" Target="../media/image2.emf"/><Relationship Id="rId5" Type="http://schemas.openxmlformats.org/officeDocument/2006/relationships/oleObject" Target="../embeddings/oleObject2.bin"/><Relationship Id="rId4" Type="http://schemas.openxmlformats.org/officeDocument/2006/relationships/vmlDrawing" Target="../drawings/vmlDrawing2.vml"/><Relationship Id="rId9"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A66"/>
  <sheetViews>
    <sheetView tabSelected="1" workbookViewId="0">
      <selection activeCell="D13" sqref="D13"/>
    </sheetView>
  </sheetViews>
  <sheetFormatPr defaultRowHeight="15" x14ac:dyDescent="0.25"/>
  <cols>
    <col min="1" max="1" width="135.140625" customWidth="1"/>
  </cols>
  <sheetData>
    <row r="1" spans="1:1" ht="18.75" x14ac:dyDescent="0.25">
      <c r="A1" s="121" t="s">
        <v>178</v>
      </c>
    </row>
    <row r="2" spans="1:1" x14ac:dyDescent="0.25">
      <c r="A2" s="122">
        <v>41729</v>
      </c>
    </row>
    <row r="3" spans="1:1" x14ac:dyDescent="0.25">
      <c r="A3" s="123"/>
    </row>
    <row r="4" spans="1:1" x14ac:dyDescent="0.25">
      <c r="A4" s="124" t="s">
        <v>179</v>
      </c>
    </row>
    <row r="5" spans="1:1" x14ac:dyDescent="0.25">
      <c r="A5" s="124" t="s">
        <v>180</v>
      </c>
    </row>
    <row r="6" spans="1:1" x14ac:dyDescent="0.25">
      <c r="A6" s="125" t="s">
        <v>181</v>
      </c>
    </row>
    <row r="7" spans="1:1" x14ac:dyDescent="0.25">
      <c r="A7" s="123"/>
    </row>
    <row r="8" spans="1:1" ht="28.5" x14ac:dyDescent="0.25">
      <c r="A8" s="126" t="s">
        <v>182</v>
      </c>
    </row>
    <row r="9" spans="1:1" ht="28.5" x14ac:dyDescent="0.25">
      <c r="A9" s="126" t="s">
        <v>183</v>
      </c>
    </row>
    <row r="10" spans="1:1" x14ac:dyDescent="0.25">
      <c r="A10" s="126"/>
    </row>
    <row r="11" spans="1:1" x14ac:dyDescent="0.25">
      <c r="A11" s="127" t="s">
        <v>184</v>
      </c>
    </row>
    <row r="12" spans="1:1" x14ac:dyDescent="0.25">
      <c r="A12" s="123"/>
    </row>
    <row r="13" spans="1:1" ht="72.75" x14ac:dyDescent="0.25">
      <c r="A13" s="128" t="s">
        <v>185</v>
      </c>
    </row>
    <row r="14" spans="1:1" x14ac:dyDescent="0.25">
      <c r="A14" s="123"/>
    </row>
    <row r="15" spans="1:1" ht="29.25" x14ac:dyDescent="0.25">
      <c r="A15" s="125" t="s">
        <v>186</v>
      </c>
    </row>
    <row r="16" spans="1:1" x14ac:dyDescent="0.25">
      <c r="A16" s="128"/>
    </row>
    <row r="17" spans="1:1" x14ac:dyDescent="0.25">
      <c r="A17" s="123"/>
    </row>
    <row r="18" spans="1:1" ht="18.75" x14ac:dyDescent="0.25">
      <c r="A18" s="129" t="s">
        <v>187</v>
      </c>
    </row>
    <row r="19" spans="1:1" x14ac:dyDescent="0.25">
      <c r="A19" s="124" t="s">
        <v>188</v>
      </c>
    </row>
    <row r="20" spans="1:1" ht="28.5" x14ac:dyDescent="0.25">
      <c r="A20" s="130" t="s">
        <v>189</v>
      </c>
    </row>
    <row r="21" spans="1:1" x14ac:dyDescent="0.25">
      <c r="A21" s="131" t="s">
        <v>190</v>
      </c>
    </row>
    <row r="22" spans="1:1" x14ac:dyDescent="0.25">
      <c r="A22" s="123"/>
    </row>
    <row r="23" spans="1:1" x14ac:dyDescent="0.25">
      <c r="A23" s="132" t="s">
        <v>191</v>
      </c>
    </row>
    <row r="24" spans="1:1" ht="29.25" x14ac:dyDescent="0.25">
      <c r="A24" s="133" t="s">
        <v>192</v>
      </c>
    </row>
    <row r="25" spans="1:1" x14ac:dyDescent="0.25">
      <c r="A25" s="134" t="s">
        <v>193</v>
      </c>
    </row>
    <row r="26" spans="1:1" x14ac:dyDescent="0.25">
      <c r="A26" s="123"/>
    </row>
    <row r="27" spans="1:1" ht="43.5" x14ac:dyDescent="0.25">
      <c r="A27" s="124" t="s">
        <v>194</v>
      </c>
    </row>
    <row r="28" spans="1:1" x14ac:dyDescent="0.25">
      <c r="A28" s="135"/>
    </row>
    <row r="29" spans="1:1" ht="42.75" x14ac:dyDescent="0.25">
      <c r="A29" s="128" t="s">
        <v>195</v>
      </c>
    </row>
    <row r="30" spans="1:1" x14ac:dyDescent="0.25">
      <c r="A30" s="123"/>
    </row>
    <row r="31" spans="1:1" ht="43.5" x14ac:dyDescent="0.25">
      <c r="A31" s="125" t="s">
        <v>196</v>
      </c>
    </row>
    <row r="32" spans="1:1" x14ac:dyDescent="0.25">
      <c r="A32" s="123"/>
    </row>
    <row r="33" spans="1:1" ht="57.75" x14ac:dyDescent="0.25">
      <c r="A33" s="124" t="s">
        <v>197</v>
      </c>
    </row>
    <row r="34" spans="1:1" x14ac:dyDescent="0.25">
      <c r="A34" s="126"/>
    </row>
    <row r="35" spans="1:1" ht="28.5" x14ac:dyDescent="0.25">
      <c r="A35" s="126" t="s">
        <v>198</v>
      </c>
    </row>
    <row r="36" spans="1:1" x14ac:dyDescent="0.25">
      <c r="A36" s="133" t="s">
        <v>199</v>
      </c>
    </row>
    <row r="37" spans="1:1" x14ac:dyDescent="0.25">
      <c r="A37" s="133" t="s">
        <v>200</v>
      </c>
    </row>
    <row r="38" spans="1:1" x14ac:dyDescent="0.25">
      <c r="A38" s="136" t="s">
        <v>201</v>
      </c>
    </row>
    <row r="39" spans="1:1" x14ac:dyDescent="0.25">
      <c r="A39" s="123"/>
    </row>
    <row r="40" spans="1:1" ht="29.25" x14ac:dyDescent="0.25">
      <c r="A40" s="125" t="s">
        <v>202</v>
      </c>
    </row>
    <row r="41" spans="1:1" x14ac:dyDescent="0.25">
      <c r="A41" s="123"/>
    </row>
    <row r="42" spans="1:1" ht="18.75" x14ac:dyDescent="0.25">
      <c r="A42" s="129" t="s">
        <v>203</v>
      </c>
    </row>
    <row r="43" spans="1:1" ht="42.75" x14ac:dyDescent="0.25">
      <c r="A43" s="128" t="s">
        <v>204</v>
      </c>
    </row>
    <row r="44" spans="1:1" x14ac:dyDescent="0.25">
      <c r="A44" s="123"/>
    </row>
    <row r="45" spans="1:1" ht="43.5" x14ac:dyDescent="0.25">
      <c r="A45" s="125" t="s">
        <v>205</v>
      </c>
    </row>
    <row r="46" spans="1:1" x14ac:dyDescent="0.25">
      <c r="A46" s="123"/>
    </row>
    <row r="47" spans="1:1" ht="43.5" x14ac:dyDescent="0.25">
      <c r="A47" s="125" t="s">
        <v>206</v>
      </c>
    </row>
    <row r="48" spans="1:1" x14ac:dyDescent="0.25">
      <c r="A48" s="123"/>
    </row>
    <row r="49" spans="1:1" ht="43.5" x14ac:dyDescent="0.25">
      <c r="A49" s="125" t="s">
        <v>207</v>
      </c>
    </row>
    <row r="50" spans="1:1" x14ac:dyDescent="0.25">
      <c r="A50" s="123"/>
    </row>
    <row r="51" spans="1:1" x14ac:dyDescent="0.25">
      <c r="A51" s="124" t="s">
        <v>208</v>
      </c>
    </row>
    <row r="52" spans="1:1" ht="42.75" x14ac:dyDescent="0.25">
      <c r="A52" s="128" t="s">
        <v>209</v>
      </c>
    </row>
    <row r="53" spans="1:1" x14ac:dyDescent="0.25">
      <c r="A53" s="123"/>
    </row>
    <row r="54" spans="1:1" ht="57.75" x14ac:dyDescent="0.25">
      <c r="A54" s="137" t="s">
        <v>210</v>
      </c>
    </row>
    <row r="55" spans="1:1" x14ac:dyDescent="0.25">
      <c r="A55" s="123"/>
    </row>
    <row r="56" spans="1:1" ht="72" x14ac:dyDescent="0.25">
      <c r="A56" s="125" t="s">
        <v>211</v>
      </c>
    </row>
    <row r="57" spans="1:1" x14ac:dyDescent="0.25">
      <c r="A57" s="123"/>
    </row>
    <row r="58" spans="1:1" ht="57.75" x14ac:dyDescent="0.25">
      <c r="A58" s="125" t="s">
        <v>212</v>
      </c>
    </row>
    <row r="59" spans="1:1" x14ac:dyDescent="0.25">
      <c r="A59" s="123"/>
    </row>
    <row r="60" spans="1:1" x14ac:dyDescent="0.25">
      <c r="A60" s="124" t="s">
        <v>213</v>
      </c>
    </row>
    <row r="61" spans="1:1" ht="42.75" x14ac:dyDescent="0.25">
      <c r="A61" s="128" t="s">
        <v>214</v>
      </c>
    </row>
    <row r="62" spans="1:1" x14ac:dyDescent="0.25">
      <c r="A62" s="123"/>
    </row>
    <row r="63" spans="1:1" x14ac:dyDescent="0.25">
      <c r="A63" s="124" t="s">
        <v>215</v>
      </c>
    </row>
    <row r="64" spans="1:1" ht="42.75" x14ac:dyDescent="0.25">
      <c r="A64" s="128" t="s">
        <v>216</v>
      </c>
    </row>
    <row r="65" spans="1:1" x14ac:dyDescent="0.25">
      <c r="A65" s="123"/>
    </row>
    <row r="66" spans="1:1" ht="15.75" thickBot="1" x14ac:dyDescent="0.3">
      <c r="A66" s="138" t="s">
        <v>217</v>
      </c>
    </row>
  </sheetData>
  <pageMargins left="0.7" right="0.7" top="0.75" bottom="0.75" header="0.3" footer="0.3"/>
  <pageSetup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5"/>
  <sheetViews>
    <sheetView workbookViewId="0">
      <selection activeCell="C6" sqref="C6"/>
    </sheetView>
  </sheetViews>
  <sheetFormatPr defaultRowHeight="15" x14ac:dyDescent="0.25"/>
  <cols>
    <col min="1" max="1" width="107" customWidth="1"/>
  </cols>
  <sheetData>
    <row r="1" spans="1:1" ht="18.75" x14ac:dyDescent="0.25">
      <c r="A1" s="117" t="s">
        <v>176</v>
      </c>
    </row>
    <row r="2" spans="1:1" ht="18.75" x14ac:dyDescent="0.25">
      <c r="A2" s="118"/>
    </row>
    <row r="3" spans="1:1" ht="57" x14ac:dyDescent="0.25">
      <c r="A3" s="119" t="s">
        <v>218</v>
      </c>
    </row>
    <row r="4" spans="1:1" x14ac:dyDescent="0.25">
      <c r="A4" s="119"/>
    </row>
    <row r="5" spans="1:1" ht="29.25" thickBot="1" x14ac:dyDescent="0.3">
      <c r="A5" s="120" t="s">
        <v>177</v>
      </c>
    </row>
  </sheetData>
  <pageMargins left="0.7" right="0.7" top="0.75" bottom="0.75" header="0.3" footer="0.3"/>
  <pageSetup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pageSetUpPr fitToPage="1"/>
  </sheetPr>
  <dimension ref="A1:N59"/>
  <sheetViews>
    <sheetView zoomScaleNormal="100" workbookViewId="0">
      <selection activeCell="I20" sqref="I20"/>
    </sheetView>
  </sheetViews>
  <sheetFormatPr defaultColWidth="9.140625" defaultRowHeight="12.75" x14ac:dyDescent="0.2"/>
  <cols>
    <col min="1" max="1" width="3.140625" style="1" customWidth="1"/>
    <col min="2" max="2" width="16.7109375" style="1" customWidth="1"/>
    <col min="3" max="3" width="24.5703125" style="1" customWidth="1"/>
    <col min="4" max="4" width="17.140625" style="1" customWidth="1"/>
    <col min="5" max="5" width="16" style="1" customWidth="1"/>
    <col min="6" max="6" width="4.42578125" style="1" customWidth="1"/>
    <col min="7" max="7" width="14.42578125" style="1" customWidth="1"/>
    <col min="8" max="8" width="15.28515625" style="1" customWidth="1"/>
    <col min="9" max="9" width="12.28515625" style="1" customWidth="1"/>
    <col min="10" max="10" width="11.140625" style="1" customWidth="1"/>
    <col min="11" max="13" width="9.140625" style="1"/>
    <col min="14" max="14" width="11.7109375" style="1" customWidth="1"/>
    <col min="15" max="16384" width="9.140625" style="1"/>
  </cols>
  <sheetData>
    <row r="1" spans="1:14" s="7" customFormat="1" ht="19.5" x14ac:dyDescent="0.4">
      <c r="B1" s="86" t="s">
        <v>77</v>
      </c>
    </row>
    <row r="2" spans="1:14" ht="15" customHeight="1" x14ac:dyDescent="0.2">
      <c r="B2" s="2"/>
    </row>
    <row r="3" spans="1:14" ht="14.25" customHeight="1" thickBot="1" x14ac:dyDescent="0.25">
      <c r="B3" s="3" t="s">
        <v>4</v>
      </c>
      <c r="C3" s="145" t="s">
        <v>243</v>
      </c>
      <c r="D3" s="145"/>
      <c r="E3" s="145"/>
      <c r="G3" s="146" t="s">
        <v>85</v>
      </c>
      <c r="H3" s="146"/>
      <c r="I3" s="146"/>
      <c r="J3" s="146"/>
      <c r="N3" s="141"/>
    </row>
    <row r="4" spans="1:14" ht="15" customHeight="1" x14ac:dyDescent="0.2">
      <c r="B4" s="4" t="s">
        <v>84</v>
      </c>
      <c r="C4" s="147">
        <v>41789</v>
      </c>
      <c r="D4" s="148"/>
      <c r="E4" s="148"/>
      <c r="F4" s="16"/>
      <c r="H4" s="106" t="s">
        <v>81</v>
      </c>
      <c r="I4" s="105"/>
      <c r="J4" s="106" t="s">
        <v>82</v>
      </c>
    </row>
    <row r="5" spans="1:14" ht="15" customHeight="1" x14ac:dyDescent="0.2">
      <c r="B5" s="5" t="s">
        <v>83</v>
      </c>
      <c r="C5" s="149" t="s">
        <v>250</v>
      </c>
      <c r="D5" s="150"/>
      <c r="E5" s="150"/>
      <c r="F5" s="7"/>
      <c r="H5" s="104" t="s">
        <v>80</v>
      </c>
      <c r="J5" s="104" t="s">
        <v>80</v>
      </c>
      <c r="N5" s="1">
        <v>0</v>
      </c>
    </row>
    <row r="6" spans="1:14" ht="15" customHeight="1" x14ac:dyDescent="0.2">
      <c r="B6" s="5" t="s">
        <v>1</v>
      </c>
      <c r="C6" s="150" t="s">
        <v>249</v>
      </c>
      <c r="D6" s="150"/>
      <c r="E6" s="150"/>
      <c r="F6" s="7"/>
      <c r="G6" s="88" t="s">
        <v>66</v>
      </c>
      <c r="H6" s="89">
        <f>CON_Target_2012_2013</f>
        <v>150672</v>
      </c>
      <c r="I6" s="88" t="s">
        <v>66</v>
      </c>
      <c r="J6" s="90">
        <f>CON_Target_2014_2015</f>
        <v>116508</v>
      </c>
    </row>
    <row r="7" spans="1:14" ht="15" customHeight="1" x14ac:dyDescent="0.2">
      <c r="B7" s="5" t="s">
        <v>2</v>
      </c>
      <c r="C7" s="151" t="s">
        <v>248</v>
      </c>
      <c r="D7" s="152"/>
      <c r="E7" s="152"/>
      <c r="F7" s="7"/>
      <c r="G7" s="88" t="s">
        <v>67</v>
      </c>
      <c r="H7" s="91">
        <f>CON_2012_MWH+CON_2013_MWH</f>
        <v>210629.33776934401</v>
      </c>
    </row>
    <row r="8" spans="1:14" ht="15" customHeight="1" thickBot="1" x14ac:dyDescent="0.25">
      <c r="B8" s="5"/>
      <c r="C8" s="87"/>
      <c r="D8" s="7"/>
      <c r="E8" s="7"/>
      <c r="F8" s="7"/>
      <c r="G8" s="88" t="s">
        <v>68</v>
      </c>
      <c r="H8" s="92">
        <f>H6-H7</f>
        <v>-59957.337769344012</v>
      </c>
    </row>
    <row r="9" spans="1:14" s="7" customFormat="1" ht="13.5" thickTop="1" x14ac:dyDescent="0.2">
      <c r="B9" s="158" t="s">
        <v>69</v>
      </c>
      <c r="C9" s="158"/>
      <c r="D9" s="158"/>
      <c r="E9" s="158"/>
      <c r="F9" s="159"/>
    </row>
    <row r="10" spans="1:14" s="7" customFormat="1" x14ac:dyDescent="0.2">
      <c r="B10" s="160" t="s">
        <v>36</v>
      </c>
      <c r="C10" s="144"/>
      <c r="D10" s="144" t="s">
        <v>72</v>
      </c>
      <c r="E10" s="144"/>
    </row>
    <row r="11" spans="1:14" ht="52.5" customHeight="1" x14ac:dyDescent="0.2">
      <c r="B11" s="93" t="s">
        <v>75</v>
      </c>
      <c r="C11" s="17" t="s">
        <v>51</v>
      </c>
      <c r="D11" s="17" t="s">
        <v>74</v>
      </c>
      <c r="E11" s="94" t="s">
        <v>73</v>
      </c>
    </row>
    <row r="12" spans="1:14" ht="15" customHeight="1" x14ac:dyDescent="0.2">
      <c r="B12" s="95">
        <v>751608</v>
      </c>
      <c r="C12" s="96">
        <v>150672</v>
      </c>
      <c r="D12" s="96">
        <v>640356</v>
      </c>
      <c r="E12" s="97">
        <v>116508</v>
      </c>
    </row>
    <row r="13" spans="1:14" ht="15" customHeight="1" thickBot="1" x14ac:dyDescent="0.25">
      <c r="B13" s="7"/>
      <c r="C13" s="7"/>
      <c r="D13" s="7"/>
      <c r="E13" s="7"/>
      <c r="F13" s="7"/>
      <c r="G13" s="7"/>
      <c r="H13" s="7"/>
    </row>
    <row r="14" spans="1:14" ht="13.5" thickTop="1" x14ac:dyDescent="0.2">
      <c r="B14" s="143" t="s">
        <v>3</v>
      </c>
      <c r="C14" s="143"/>
      <c r="D14" s="143"/>
      <c r="E14" s="143"/>
      <c r="F14" s="143"/>
      <c r="G14" s="143"/>
      <c r="H14" s="143"/>
    </row>
    <row r="15" spans="1:14" ht="15" customHeight="1" x14ac:dyDescent="0.2">
      <c r="A15" s="7"/>
      <c r="B15" s="18"/>
      <c r="D15" s="144" t="s">
        <v>49</v>
      </c>
      <c r="E15" s="144"/>
      <c r="G15" s="144" t="s">
        <v>71</v>
      </c>
      <c r="H15" s="144"/>
    </row>
    <row r="16" spans="1:14" ht="30.75" customHeight="1" x14ac:dyDescent="0.2">
      <c r="A16" s="7"/>
      <c r="C16" s="19" t="s">
        <v>43</v>
      </c>
      <c r="D16" s="17" t="s">
        <v>7</v>
      </c>
      <c r="E16" s="17" t="s">
        <v>8</v>
      </c>
      <c r="G16" s="17" t="s">
        <v>7</v>
      </c>
      <c r="H16" s="17" t="s">
        <v>8</v>
      </c>
    </row>
    <row r="17" spans="1:8" ht="15" customHeight="1" x14ac:dyDescent="0.2">
      <c r="A17" s="7"/>
      <c r="C17" s="35" t="s">
        <v>9</v>
      </c>
      <c r="D17" s="98">
        <v>30193.21</v>
      </c>
      <c r="E17" s="109">
        <v>7080338</v>
      </c>
      <c r="G17" s="98">
        <v>32976.81</v>
      </c>
      <c r="H17" s="109">
        <v>7920564</v>
      </c>
    </row>
    <row r="18" spans="1:8" ht="15" customHeight="1" x14ac:dyDescent="0.2">
      <c r="A18" s="7"/>
      <c r="C18" s="35" t="s">
        <v>10</v>
      </c>
      <c r="D18" s="98">
        <v>35134.79</v>
      </c>
      <c r="E18" s="109">
        <v>4903733</v>
      </c>
      <c r="G18" s="98">
        <v>43919.660646144002</v>
      </c>
      <c r="H18" s="109">
        <v>6098373.4100000011</v>
      </c>
    </row>
    <row r="19" spans="1:8" ht="15" customHeight="1" x14ac:dyDescent="0.2">
      <c r="A19" s="7"/>
      <c r="C19" s="35" t="s">
        <v>11</v>
      </c>
      <c r="D19" s="98">
        <v>6014.59</v>
      </c>
      <c r="E19" s="109">
        <v>733917</v>
      </c>
      <c r="G19" s="98">
        <v>6754.92</v>
      </c>
      <c r="H19" s="109">
        <v>1151488.2300000002</v>
      </c>
    </row>
    <row r="20" spans="1:8" ht="15" customHeight="1" x14ac:dyDescent="0.2">
      <c r="A20" s="7"/>
      <c r="C20" s="35" t="s">
        <v>12</v>
      </c>
      <c r="D20" s="98">
        <v>0</v>
      </c>
      <c r="E20" s="109">
        <v>0</v>
      </c>
      <c r="G20" s="98">
        <v>0</v>
      </c>
      <c r="H20" s="109">
        <v>0</v>
      </c>
    </row>
    <row r="21" spans="1:8" ht="15" customHeight="1" x14ac:dyDescent="0.2">
      <c r="A21" s="7"/>
      <c r="C21" s="35" t="s">
        <v>38</v>
      </c>
      <c r="D21" s="98">
        <v>121.71</v>
      </c>
      <c r="E21" s="109">
        <v>0</v>
      </c>
      <c r="G21" s="98">
        <v>0</v>
      </c>
      <c r="H21" s="109">
        <v>0</v>
      </c>
    </row>
    <row r="22" spans="1:8" ht="15" customHeight="1" x14ac:dyDescent="0.2">
      <c r="A22" s="7"/>
      <c r="C22" s="36" t="s">
        <v>39</v>
      </c>
      <c r="D22" s="98">
        <v>0</v>
      </c>
      <c r="E22" s="109">
        <v>0</v>
      </c>
      <c r="G22" s="98">
        <v>0</v>
      </c>
      <c r="H22" s="109">
        <v>0</v>
      </c>
    </row>
    <row r="23" spans="1:8" ht="15" customHeight="1" x14ac:dyDescent="0.2">
      <c r="A23" s="7"/>
      <c r="C23" s="36" t="s">
        <v>5</v>
      </c>
      <c r="D23" s="99">
        <v>28595.66</v>
      </c>
      <c r="E23" s="109">
        <v>299048</v>
      </c>
      <c r="G23" s="99">
        <v>26917.9871232</v>
      </c>
      <c r="H23" s="109">
        <v>299048</v>
      </c>
    </row>
    <row r="24" spans="1:8" ht="15" customHeight="1" x14ac:dyDescent="0.2">
      <c r="A24" s="7"/>
      <c r="C24" s="100"/>
      <c r="D24" s="99"/>
      <c r="E24" s="109"/>
      <c r="G24" s="99"/>
      <c r="H24" s="109"/>
    </row>
    <row r="25" spans="1:8" ht="15" customHeight="1" x14ac:dyDescent="0.2">
      <c r="A25" s="7"/>
      <c r="C25" s="100"/>
      <c r="D25" s="99"/>
      <c r="E25" s="109"/>
      <c r="G25" s="99"/>
      <c r="H25" s="109"/>
    </row>
    <row r="26" spans="1:8" ht="30.75" customHeight="1" x14ac:dyDescent="0.2">
      <c r="A26" s="7"/>
      <c r="B26" s="153" t="s">
        <v>70</v>
      </c>
      <c r="C26" s="154"/>
      <c r="E26" s="110"/>
      <c r="H26" s="110"/>
    </row>
    <row r="27" spans="1:8" ht="15" customHeight="1" x14ac:dyDescent="0.2">
      <c r="A27" s="7"/>
      <c r="C27" s="101" t="s">
        <v>244</v>
      </c>
      <c r="D27" s="107"/>
      <c r="E27" s="109">
        <v>3183583</v>
      </c>
      <c r="G27" s="107"/>
      <c r="H27" s="109">
        <v>3107972</v>
      </c>
    </row>
    <row r="28" spans="1:8" ht="15" customHeight="1" x14ac:dyDescent="0.2">
      <c r="A28" s="7"/>
      <c r="C28" s="101" t="s">
        <v>245</v>
      </c>
      <c r="D28" s="108"/>
      <c r="E28" s="109">
        <v>2503616</v>
      </c>
      <c r="G28" s="108"/>
      <c r="H28" s="109">
        <v>2733572</v>
      </c>
    </row>
    <row r="29" spans="1:8" ht="15" customHeight="1" x14ac:dyDescent="0.2">
      <c r="C29" s="37" t="s">
        <v>6</v>
      </c>
      <c r="D29" s="34">
        <f>SUM(D17:D25)</f>
        <v>100059.96</v>
      </c>
      <c r="E29" s="111">
        <f>SUM(E17:E28)</f>
        <v>18704235</v>
      </c>
      <c r="G29" s="34">
        <f>SUM(G17:G25)</f>
        <v>110569.37776934401</v>
      </c>
      <c r="H29" s="111">
        <f>SUM(H17:H28)</f>
        <v>21311017.640000001</v>
      </c>
    </row>
    <row r="30" spans="1:8" ht="15" customHeight="1" x14ac:dyDescent="0.2">
      <c r="B30" s="20"/>
      <c r="C30" s="21"/>
      <c r="D30" s="22"/>
      <c r="E30" s="21"/>
      <c r="F30" s="22"/>
    </row>
    <row r="31" spans="1:8" s="7" customFormat="1" ht="15" customHeight="1" x14ac:dyDescent="0.2">
      <c r="B31" s="3" t="s">
        <v>4</v>
      </c>
      <c r="C31" s="155" t="str">
        <f>CON_Utility_Name</f>
        <v>Snohomish County PUD</v>
      </c>
      <c r="D31" s="155"/>
      <c r="E31" s="155"/>
      <c r="F31" s="155"/>
    </row>
    <row r="32" spans="1:8" s="7" customFormat="1" ht="21" customHeight="1" x14ac:dyDescent="0.2">
      <c r="B32" s="3"/>
      <c r="C32" s="6"/>
      <c r="D32" s="6"/>
      <c r="E32" s="6"/>
      <c r="F32" s="6"/>
    </row>
    <row r="33" spans="2:6" s="23" customFormat="1" x14ac:dyDescent="0.25">
      <c r="B33" s="156" t="s">
        <v>76</v>
      </c>
      <c r="C33" s="157"/>
      <c r="D33" s="157"/>
      <c r="E33" s="157"/>
      <c r="F33" s="157"/>
    </row>
    <row r="34" spans="2:6" ht="15" customHeight="1" x14ac:dyDescent="0.2"/>
    <row r="35" spans="2:6" ht="15" customHeight="1" x14ac:dyDescent="0.2"/>
    <row r="36" spans="2:6" ht="15" customHeight="1" x14ac:dyDescent="0.2"/>
    <row r="37" spans="2:6" ht="15" customHeight="1" x14ac:dyDescent="0.2"/>
    <row r="38" spans="2:6" ht="15" customHeight="1" x14ac:dyDescent="0.2"/>
    <row r="39" spans="2:6" ht="15" customHeight="1" x14ac:dyDescent="0.2"/>
    <row r="40" spans="2:6" ht="15" customHeight="1" x14ac:dyDescent="0.2"/>
    <row r="41" spans="2:6" ht="15" customHeight="1" x14ac:dyDescent="0.2"/>
    <row r="42" spans="2:6" ht="15" customHeight="1" x14ac:dyDescent="0.2"/>
    <row r="43" spans="2:6" ht="15" customHeight="1" x14ac:dyDescent="0.2"/>
    <row r="44" spans="2:6" ht="15" customHeight="1" x14ac:dyDescent="0.2"/>
    <row r="45" spans="2:6" ht="15" customHeight="1" x14ac:dyDescent="0.2"/>
    <row r="46" spans="2:6" x14ac:dyDescent="0.2">
      <c r="B46" s="11" t="s">
        <v>246</v>
      </c>
    </row>
    <row r="59" spans="2:2" x14ac:dyDescent="0.2">
      <c r="B59" s="11" t="s">
        <v>37</v>
      </c>
    </row>
  </sheetData>
  <mergeCells count="16">
    <mergeCell ref="B26:C26"/>
    <mergeCell ref="C31:F31"/>
    <mergeCell ref="B33:F33"/>
    <mergeCell ref="B9:F9"/>
    <mergeCell ref="B10:C10"/>
    <mergeCell ref="D10:E10"/>
    <mergeCell ref="B14:F14"/>
    <mergeCell ref="G14:H14"/>
    <mergeCell ref="D15:E15"/>
    <mergeCell ref="G15:H15"/>
    <mergeCell ref="C3:E3"/>
    <mergeCell ref="G3:J3"/>
    <mergeCell ref="C4:E4"/>
    <mergeCell ref="C5:E5"/>
    <mergeCell ref="C6:E6"/>
    <mergeCell ref="C7:E7"/>
  </mergeCells>
  <hyperlinks>
    <hyperlink ref="C7" r:id="rId1"/>
  </hyperlinks>
  <pageMargins left="0.7" right="0.7" top="0.75" bottom="0.75" header="0.3" footer="0.3"/>
  <pageSetup scale="91" fitToHeight="0" orientation="landscape" r:id="rId2"/>
  <rowBreaks count="1" manualBreakCount="1">
    <brk id="29" max="16383" man="1"/>
  </rowBreaks>
  <cellWatches>
    <cellWatch r="D29"/>
  </cellWatches>
  <drawing r:id="rId3"/>
  <legacyDrawing r:id="rId4"/>
  <oleObjects>
    <mc:AlternateContent xmlns:mc="http://schemas.openxmlformats.org/markup-compatibility/2006">
      <mc:Choice Requires="x14">
        <oleObject progId="Packager Shell Object" dvAspect="DVASPECT_ICON" shapeId="11265" r:id="rId5">
          <objectPr defaultSize="0" autoPict="0" r:id="rId6">
            <anchor moveWithCells="1">
              <from>
                <xdr:col>1</xdr:col>
                <xdr:colOff>266700</xdr:colOff>
                <xdr:row>69</xdr:row>
                <xdr:rowOff>114300</xdr:rowOff>
              </from>
              <to>
                <xdr:col>1</xdr:col>
                <xdr:colOff>1095375</xdr:colOff>
                <xdr:row>72</xdr:row>
                <xdr:rowOff>142875</xdr:rowOff>
              </to>
            </anchor>
          </objectPr>
        </oleObject>
      </mc:Choice>
      <mc:Fallback>
        <oleObject progId="Packager Shell Objec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H137"/>
  <sheetViews>
    <sheetView showGridLines="0" view="pageBreakPreview" zoomScaleNormal="100" zoomScaleSheetLayoutView="100" workbookViewId="0">
      <selection activeCell="B112" sqref="A112:XFD112"/>
    </sheetView>
  </sheetViews>
  <sheetFormatPr defaultColWidth="9.140625" defaultRowHeight="12.75" x14ac:dyDescent="0.2"/>
  <cols>
    <col min="1" max="1" width="2.7109375" style="1" customWidth="1"/>
    <col min="2" max="2" width="30.140625" style="1" customWidth="1"/>
    <col min="3" max="4" width="10.28515625" style="1" customWidth="1"/>
    <col min="5" max="15" width="10.7109375" style="1" customWidth="1"/>
    <col min="16" max="16" width="10.5703125" style="1" customWidth="1"/>
    <col min="17" max="17" width="10.7109375" style="1" customWidth="1"/>
    <col min="18" max="16384" width="9.140625" style="1"/>
  </cols>
  <sheetData>
    <row r="1" spans="2:34" s="7" customFormat="1" ht="19.5" x14ac:dyDescent="0.4">
      <c r="B1" s="74" t="s">
        <v>60</v>
      </c>
      <c r="C1" s="74"/>
      <c r="D1" s="74"/>
      <c r="AC1" s="69" t="s">
        <v>52</v>
      </c>
      <c r="AH1" s="66"/>
    </row>
    <row r="2" spans="2:34" ht="14.25" x14ac:dyDescent="0.2">
      <c r="B2" s="28"/>
      <c r="C2" s="28"/>
      <c r="D2" s="28"/>
      <c r="I2" s="161" t="s">
        <v>48</v>
      </c>
      <c r="J2" s="162"/>
      <c r="K2" s="162"/>
      <c r="L2" s="162"/>
      <c r="M2" s="162"/>
      <c r="N2" s="163"/>
      <c r="AC2" s="70" t="s">
        <v>53</v>
      </c>
      <c r="AH2" s="64"/>
    </row>
    <row r="3" spans="2:34" ht="15" customHeight="1" x14ac:dyDescent="0.2">
      <c r="B3" s="3" t="s">
        <v>4</v>
      </c>
      <c r="C3" s="167" t="s">
        <v>219</v>
      </c>
      <c r="D3" s="167"/>
      <c r="E3" s="167"/>
      <c r="I3" s="79"/>
      <c r="J3" s="7"/>
      <c r="K3" s="7"/>
      <c r="L3" s="7"/>
      <c r="M3" s="78" t="s">
        <v>44</v>
      </c>
      <c r="N3" s="142">
        <v>6535584</v>
      </c>
      <c r="AC3" s="70" t="s">
        <v>54</v>
      </c>
      <c r="AH3" s="64"/>
    </row>
    <row r="4" spans="2:34" ht="15" customHeight="1" thickBot="1" x14ac:dyDescent="0.25">
      <c r="B4" s="4" t="s">
        <v>84</v>
      </c>
      <c r="C4" s="168"/>
      <c r="D4" s="168"/>
      <c r="E4" s="168"/>
      <c r="I4" s="79"/>
      <c r="J4" s="7"/>
      <c r="K4" s="7"/>
      <c r="L4" s="7"/>
      <c r="M4" s="78" t="s">
        <v>57</v>
      </c>
      <c r="N4" s="142">
        <v>6544708</v>
      </c>
      <c r="AC4" s="70" t="s">
        <v>55</v>
      </c>
      <c r="AH4" s="65"/>
    </row>
    <row r="5" spans="2:34" ht="15" customHeight="1" x14ac:dyDescent="0.2">
      <c r="B5" s="5" t="s">
        <v>0</v>
      </c>
      <c r="C5" s="169" t="s">
        <v>220</v>
      </c>
      <c r="D5" s="169"/>
      <c r="E5" s="169"/>
      <c r="I5" s="79"/>
      <c r="J5" s="7"/>
      <c r="K5" s="7"/>
      <c r="L5" s="7"/>
      <c r="M5" s="78" t="s">
        <v>58</v>
      </c>
      <c r="N5" s="80">
        <f>IF(REN_Load_2012+REN_Load_2013&gt;0,AVERAGE(REN_Load_2012,REN_Load_2013),0)</f>
        <v>6540146</v>
      </c>
    </row>
    <row r="6" spans="2:34" ht="15" customHeight="1" x14ac:dyDescent="0.2">
      <c r="B6" s="5" t="s">
        <v>1</v>
      </c>
      <c r="C6" s="169" t="s">
        <v>221</v>
      </c>
      <c r="D6" s="169"/>
      <c r="E6" s="169"/>
      <c r="I6" s="79"/>
      <c r="J6" s="7"/>
      <c r="K6" s="7"/>
      <c r="L6" s="7"/>
      <c r="M6" s="78" t="s">
        <v>59</v>
      </c>
      <c r="N6" s="81">
        <v>0.03</v>
      </c>
    </row>
    <row r="7" spans="2:34" ht="15" customHeight="1" x14ac:dyDescent="0.2">
      <c r="B7" s="5" t="s">
        <v>2</v>
      </c>
      <c r="C7" s="170" t="s">
        <v>222</v>
      </c>
      <c r="D7" s="171"/>
      <c r="E7" s="171"/>
      <c r="I7" s="103"/>
      <c r="J7" s="7"/>
      <c r="K7" s="7"/>
      <c r="L7" s="7"/>
      <c r="M7" s="78" t="s">
        <v>65</v>
      </c>
      <c r="N7" s="80">
        <f>N5*N6</f>
        <v>196204.38</v>
      </c>
    </row>
    <row r="8" spans="2:34" ht="15" customHeight="1" x14ac:dyDescent="0.2">
      <c r="B8" s="5"/>
      <c r="C8" s="5"/>
      <c r="D8" s="5"/>
      <c r="E8" s="63"/>
      <c r="I8" s="82"/>
      <c r="J8" s="83"/>
      <c r="K8" s="83"/>
      <c r="L8" s="83"/>
      <c r="M8" s="84" t="s">
        <v>56</v>
      </c>
      <c r="N8" s="85">
        <f>SUM(C20:M20)</f>
        <v>754394</v>
      </c>
    </row>
    <row r="9" spans="2:34" ht="15" customHeight="1" x14ac:dyDescent="0.2">
      <c r="B9" s="3" t="s">
        <v>61</v>
      </c>
      <c r="C9" s="75"/>
      <c r="D9" s="75"/>
    </row>
    <row r="10" spans="2:34" ht="15" customHeight="1" x14ac:dyDescent="0.2">
      <c r="C10" s="28"/>
      <c r="D10" s="28"/>
      <c r="G10" s="164" t="s">
        <v>168</v>
      </c>
      <c r="H10" s="165"/>
      <c r="I10" s="165"/>
      <c r="J10" s="165"/>
      <c r="K10" s="165"/>
      <c r="L10" s="165"/>
      <c r="M10" s="165"/>
      <c r="N10" s="166"/>
    </row>
    <row r="11" spans="2:34" s="67" customFormat="1" ht="14.25" customHeight="1" x14ac:dyDescent="0.25">
      <c r="B11" s="1"/>
      <c r="C11" s="68"/>
      <c r="D11" s="68"/>
      <c r="G11" s="79" t="s">
        <v>167</v>
      </c>
      <c r="H11" s="114"/>
      <c r="I11" s="114"/>
      <c r="J11" s="114"/>
      <c r="K11" s="114"/>
      <c r="L11" s="114"/>
      <c r="M11" s="7"/>
      <c r="N11" s="140">
        <v>33338617.599170536</v>
      </c>
    </row>
    <row r="12" spans="2:34" x14ac:dyDescent="0.2">
      <c r="C12" s="28"/>
      <c r="D12" s="28"/>
      <c r="G12" s="79" t="s">
        <v>175</v>
      </c>
      <c r="H12" s="112"/>
      <c r="I12" s="112"/>
      <c r="J12" s="112"/>
      <c r="K12" s="112"/>
      <c r="L12" s="7"/>
      <c r="M12" s="7"/>
      <c r="N12" s="140">
        <v>555324000</v>
      </c>
    </row>
    <row r="13" spans="2:34" x14ac:dyDescent="0.2">
      <c r="G13" s="115" t="s">
        <v>169</v>
      </c>
      <c r="H13" s="113"/>
      <c r="I13" s="113"/>
      <c r="J13" s="113"/>
      <c r="K13" s="113"/>
      <c r="L13" s="83"/>
      <c r="M13" s="83"/>
      <c r="N13" s="116">
        <f>IF(REN_RetailRevenueRequirement_2014&gt;0,REN_Expenditure_Amount_2014/REN_RetailRevenueRequirement_2014,"")</f>
        <v>6.0034534072308306E-2</v>
      </c>
    </row>
    <row r="14" spans="2:34" ht="17.45" customHeight="1" x14ac:dyDescent="0.2">
      <c r="I14" s="172"/>
      <c r="J14" s="172"/>
      <c r="K14" s="172"/>
      <c r="L14" s="172"/>
      <c r="M14" s="172"/>
      <c r="N14" s="60"/>
      <c r="O14" s="24"/>
      <c r="P14" s="24"/>
    </row>
    <row r="15" spans="2:34" ht="16.899999999999999" customHeight="1" x14ac:dyDescent="0.2">
      <c r="B15" s="5"/>
      <c r="C15" s="33" t="s">
        <v>14</v>
      </c>
      <c r="D15" s="31" t="s">
        <v>15</v>
      </c>
      <c r="E15" s="31" t="s">
        <v>16</v>
      </c>
      <c r="F15" s="31" t="s">
        <v>17</v>
      </c>
      <c r="G15" s="31" t="s">
        <v>18</v>
      </c>
      <c r="H15" s="31" t="s">
        <v>19</v>
      </c>
      <c r="I15" s="31" t="s">
        <v>20</v>
      </c>
      <c r="J15" s="31" t="s">
        <v>21</v>
      </c>
      <c r="K15" s="32" t="s">
        <v>22</v>
      </c>
      <c r="L15" s="32" t="s">
        <v>86</v>
      </c>
      <c r="M15" s="32" t="s">
        <v>87</v>
      </c>
      <c r="N15" s="60"/>
      <c r="O15" s="24"/>
      <c r="P15" s="24"/>
    </row>
    <row r="16" spans="2:34" ht="21.75" customHeight="1" x14ac:dyDescent="0.2">
      <c r="B16" s="10"/>
      <c r="C16" s="27" t="s">
        <v>23</v>
      </c>
      <c r="D16" s="27" t="s">
        <v>24</v>
      </c>
      <c r="E16" s="27" t="s">
        <v>25</v>
      </c>
      <c r="F16" s="27" t="s">
        <v>26</v>
      </c>
      <c r="G16" s="27" t="s">
        <v>27</v>
      </c>
      <c r="H16" s="27" t="s">
        <v>42</v>
      </c>
      <c r="I16" s="27" t="s">
        <v>28</v>
      </c>
      <c r="J16" s="27" t="s">
        <v>29</v>
      </c>
      <c r="K16" s="27" t="s">
        <v>30</v>
      </c>
      <c r="L16" s="27" t="s">
        <v>34</v>
      </c>
      <c r="M16" s="27" t="s">
        <v>31</v>
      </c>
      <c r="N16" s="60"/>
      <c r="O16" s="24"/>
      <c r="P16" s="24"/>
    </row>
    <row r="17" spans="2:34" ht="18" customHeight="1" x14ac:dyDescent="0.2">
      <c r="B17" s="5"/>
      <c r="C17" s="25" t="s">
        <v>7</v>
      </c>
      <c r="D17" s="25" t="s">
        <v>7</v>
      </c>
      <c r="E17" s="25" t="s">
        <v>7</v>
      </c>
      <c r="F17" s="25" t="s">
        <v>7</v>
      </c>
      <c r="G17" s="25" t="s">
        <v>7</v>
      </c>
      <c r="H17" s="25" t="s">
        <v>7</v>
      </c>
      <c r="I17" s="25" t="s">
        <v>7</v>
      </c>
      <c r="J17" s="25" t="s">
        <v>7</v>
      </c>
      <c r="K17" s="25" t="s">
        <v>7</v>
      </c>
      <c r="L17" s="25" t="s">
        <v>64</v>
      </c>
      <c r="M17" s="25" t="s">
        <v>64</v>
      </c>
      <c r="N17" s="60"/>
      <c r="O17" s="24"/>
      <c r="P17" s="24"/>
    </row>
    <row r="18" spans="2:34" ht="15" customHeight="1" x14ac:dyDescent="0.2">
      <c r="B18" s="4" t="s">
        <v>45</v>
      </c>
      <c r="C18" s="12">
        <f t="shared" ref="C18:L18" si="0">SUM(E44:E64)</f>
        <v>1205</v>
      </c>
      <c r="D18" s="12">
        <f t="shared" si="0"/>
        <v>482146</v>
      </c>
      <c r="E18" s="12">
        <f t="shared" si="0"/>
        <v>0</v>
      </c>
      <c r="F18" s="12">
        <f t="shared" si="0"/>
        <v>0</v>
      </c>
      <c r="G18" s="12">
        <f t="shared" si="0"/>
        <v>0</v>
      </c>
      <c r="H18" s="12">
        <f t="shared" si="0"/>
        <v>0</v>
      </c>
      <c r="I18" s="12">
        <f t="shared" si="0"/>
        <v>0</v>
      </c>
      <c r="J18" s="12">
        <f t="shared" si="0"/>
        <v>0</v>
      </c>
      <c r="K18" s="12">
        <f t="shared" si="0"/>
        <v>20609</v>
      </c>
      <c r="L18" s="12">
        <f t="shared" si="0"/>
        <v>0</v>
      </c>
      <c r="M18" s="102"/>
      <c r="N18" s="61"/>
      <c r="O18" s="72"/>
      <c r="P18" s="72"/>
    </row>
    <row r="19" spans="2:34" ht="16.5" customHeight="1" x14ac:dyDescent="0.2">
      <c r="B19" s="4" t="s">
        <v>46</v>
      </c>
      <c r="C19" s="102"/>
      <c r="D19" s="13">
        <f t="shared" ref="D19:M19" si="1">SUM(F72:F97)</f>
        <v>226307</v>
      </c>
      <c r="E19" s="13">
        <f t="shared" si="1"/>
        <v>1759</v>
      </c>
      <c r="F19" s="13">
        <f t="shared" si="1"/>
        <v>0</v>
      </c>
      <c r="G19" s="13">
        <f t="shared" si="1"/>
        <v>0</v>
      </c>
      <c r="H19" s="13">
        <f t="shared" si="1"/>
        <v>0</v>
      </c>
      <c r="I19" s="13">
        <f t="shared" si="1"/>
        <v>0</v>
      </c>
      <c r="J19" s="13">
        <f t="shared" si="1"/>
        <v>0</v>
      </c>
      <c r="K19" s="13">
        <f t="shared" si="1"/>
        <v>0</v>
      </c>
      <c r="L19" s="13">
        <f t="shared" si="1"/>
        <v>0</v>
      </c>
      <c r="M19" s="13">
        <f t="shared" si="1"/>
        <v>22368</v>
      </c>
      <c r="N19" s="62"/>
      <c r="O19" s="24"/>
      <c r="P19" s="24"/>
    </row>
    <row r="20" spans="2:34" ht="16.5" customHeight="1" x14ac:dyDescent="0.2">
      <c r="B20" s="5" t="s">
        <v>47</v>
      </c>
      <c r="C20" s="14">
        <f t="shared" ref="C20:L20" si="2">C18+C19</f>
        <v>1205</v>
      </c>
      <c r="D20" s="14">
        <f t="shared" si="2"/>
        <v>708453</v>
      </c>
      <c r="E20" s="14">
        <f t="shared" si="2"/>
        <v>1759</v>
      </c>
      <c r="F20" s="14">
        <f t="shared" si="2"/>
        <v>0</v>
      </c>
      <c r="G20" s="14">
        <f t="shared" si="2"/>
        <v>0</v>
      </c>
      <c r="H20" s="14">
        <f t="shared" si="2"/>
        <v>0</v>
      </c>
      <c r="I20" s="14">
        <f t="shared" si="2"/>
        <v>0</v>
      </c>
      <c r="J20" s="14">
        <f t="shared" si="2"/>
        <v>0</v>
      </c>
      <c r="K20" s="14">
        <f t="shared" si="2"/>
        <v>20609</v>
      </c>
      <c r="L20" s="14">
        <f t="shared" si="2"/>
        <v>0</v>
      </c>
      <c r="M20" s="13">
        <f>M19</f>
        <v>22368</v>
      </c>
      <c r="N20" s="62"/>
      <c r="O20" s="24"/>
      <c r="P20" s="24"/>
    </row>
    <row r="21" spans="2:34" ht="16.5" customHeight="1" x14ac:dyDescent="0.2">
      <c r="L21" s="7"/>
      <c r="M21" s="4"/>
      <c r="N21" s="62"/>
      <c r="O21" s="24"/>
      <c r="P21" s="24"/>
    </row>
    <row r="22" spans="2:34" ht="21.75" customHeight="1" x14ac:dyDescent="0.2">
      <c r="L22" s="7"/>
      <c r="M22" s="4"/>
      <c r="N22" s="62"/>
      <c r="O22" s="24"/>
      <c r="P22" s="24"/>
    </row>
    <row r="23" spans="2:34" ht="15" customHeight="1" x14ac:dyDescent="0.2">
      <c r="B23" s="73"/>
      <c r="C23" s="76"/>
      <c r="D23" s="76"/>
      <c r="E23" s="73"/>
      <c r="F23" s="76"/>
      <c r="G23" s="76"/>
      <c r="I23" s="7"/>
      <c r="J23" s="7"/>
      <c r="K23" s="7"/>
      <c r="L23" s="7"/>
      <c r="M23" s="4"/>
      <c r="N23" s="62"/>
      <c r="O23" s="24"/>
      <c r="P23" s="24"/>
    </row>
    <row r="24" spans="2:34" ht="15" customHeight="1" x14ac:dyDescent="0.2"/>
    <row r="25" spans="2:34" s="11" customFormat="1" x14ac:dyDescent="0.2">
      <c r="AH25" s="1"/>
    </row>
    <row r="26" spans="2:34" ht="15" customHeight="1" x14ac:dyDescent="0.2">
      <c r="AH26" s="11"/>
    </row>
    <row r="27" spans="2:34" ht="15" customHeight="1" x14ac:dyDescent="0.2">
      <c r="AH27" s="11"/>
    </row>
    <row r="28" spans="2:34" ht="15" customHeight="1" x14ac:dyDescent="0.2">
      <c r="AH28" s="11"/>
    </row>
    <row r="29" spans="2:34" ht="15" customHeight="1" x14ac:dyDescent="0.2">
      <c r="AH29" s="11"/>
    </row>
    <row r="30" spans="2:34" ht="15" customHeight="1" x14ac:dyDescent="0.2">
      <c r="AH30" s="11"/>
    </row>
    <row r="31" spans="2:34" ht="15" customHeight="1" x14ac:dyDescent="0.2">
      <c r="AH31" s="11"/>
    </row>
    <row r="32" spans="2:34" ht="15" customHeight="1" x14ac:dyDescent="0.2">
      <c r="AH32" s="11"/>
    </row>
    <row r="33" spans="2:34" ht="15" customHeight="1" x14ac:dyDescent="0.2"/>
    <row r="34" spans="2:34" ht="15" customHeight="1" x14ac:dyDescent="0.2"/>
    <row r="35" spans="2:34" ht="15" customHeight="1" x14ac:dyDescent="0.2"/>
    <row r="36" spans="2:34" ht="16.5" customHeight="1" x14ac:dyDescent="0.2">
      <c r="B36" s="6" t="s">
        <v>40</v>
      </c>
      <c r="C36" s="6"/>
      <c r="D36" s="6"/>
      <c r="E36" s="10" t="s">
        <v>4</v>
      </c>
      <c r="F36" s="173" t="str">
        <f>C3</f>
        <v>Snohomish PUD</v>
      </c>
      <c r="G36" s="174"/>
      <c r="H36" s="175"/>
    </row>
    <row r="37" spans="2:34" ht="15" customHeight="1" x14ac:dyDescent="0.2">
      <c r="E37" s="10" t="s">
        <v>13</v>
      </c>
      <c r="F37" s="176">
        <v>2014</v>
      </c>
      <c r="G37" s="177"/>
      <c r="H37" s="178"/>
    </row>
    <row r="38" spans="2:34" ht="15" customHeight="1" x14ac:dyDescent="0.2">
      <c r="E38" s="10"/>
      <c r="F38" s="71"/>
      <c r="G38" s="9"/>
      <c r="H38" s="9"/>
    </row>
    <row r="39" spans="2:34" s="29" customFormat="1" ht="27" customHeight="1" x14ac:dyDescent="0.25">
      <c r="B39" s="179" t="s">
        <v>173</v>
      </c>
      <c r="C39" s="180"/>
      <c r="D39" s="180"/>
      <c r="E39" s="181"/>
      <c r="F39" s="181"/>
      <c r="G39" s="181"/>
      <c r="H39" s="30"/>
      <c r="AH39" s="1"/>
    </row>
    <row r="40" spans="2:34" ht="15" customHeight="1" x14ac:dyDescent="0.2">
      <c r="E40" s="15"/>
      <c r="F40" s="15"/>
      <c r="G40" s="15"/>
      <c r="H40" s="15"/>
      <c r="I40" s="15"/>
      <c r="J40" s="15"/>
      <c r="K40" s="15"/>
      <c r="L40" s="15"/>
      <c r="M40" s="15"/>
      <c r="N40" s="15"/>
      <c r="P40" s="15"/>
      <c r="Q40" s="15"/>
      <c r="R40" s="15"/>
      <c r="S40" s="15"/>
      <c r="AH40" s="29"/>
    </row>
    <row r="41" spans="2:34" s="7" customFormat="1" ht="12.75" customHeight="1" x14ac:dyDescent="0.2">
      <c r="E41" s="33" t="s">
        <v>14</v>
      </c>
      <c r="F41" s="31" t="s">
        <v>15</v>
      </c>
      <c r="G41" s="31" t="s">
        <v>16</v>
      </c>
      <c r="H41" s="31" t="s">
        <v>17</v>
      </c>
      <c r="I41" s="31" t="s">
        <v>18</v>
      </c>
      <c r="J41" s="31" t="s">
        <v>19</v>
      </c>
      <c r="K41" s="31" t="s">
        <v>20</v>
      </c>
      <c r="L41" s="31" t="s">
        <v>21</v>
      </c>
      <c r="M41" s="32" t="s">
        <v>22</v>
      </c>
      <c r="N41" s="32" t="s">
        <v>86</v>
      </c>
      <c r="O41" s="1"/>
      <c r="AH41" s="1"/>
    </row>
    <row r="42" spans="2:34" s="11" customFormat="1" ht="43.5" customHeight="1" x14ac:dyDescent="0.2">
      <c r="E42" s="27" t="s">
        <v>33</v>
      </c>
      <c r="F42" s="27" t="s">
        <v>24</v>
      </c>
      <c r="G42" s="27" t="s">
        <v>25</v>
      </c>
      <c r="H42" s="27" t="s">
        <v>26</v>
      </c>
      <c r="I42" s="27" t="s">
        <v>27</v>
      </c>
      <c r="J42" s="27" t="s">
        <v>41</v>
      </c>
      <c r="K42" s="27" t="s">
        <v>28</v>
      </c>
      <c r="L42" s="27" t="s">
        <v>29</v>
      </c>
      <c r="M42" s="27" t="s">
        <v>30</v>
      </c>
      <c r="N42" s="27" t="s">
        <v>34</v>
      </c>
      <c r="O42" s="1"/>
      <c r="AH42" s="7"/>
    </row>
    <row r="43" spans="2:34" ht="15" customHeight="1" x14ac:dyDescent="0.2">
      <c r="B43" s="77" t="s">
        <v>35</v>
      </c>
      <c r="C43" s="182" t="s">
        <v>62</v>
      </c>
      <c r="D43" s="182"/>
      <c r="E43" s="25" t="s">
        <v>7</v>
      </c>
      <c r="F43" s="25" t="s">
        <v>7</v>
      </c>
      <c r="G43" s="25" t="s">
        <v>7</v>
      </c>
      <c r="H43" s="25" t="s">
        <v>7</v>
      </c>
      <c r="I43" s="25" t="s">
        <v>7</v>
      </c>
      <c r="J43" s="25" t="s">
        <v>7</v>
      </c>
      <c r="K43" s="25" t="s">
        <v>7</v>
      </c>
      <c r="L43" s="25" t="s">
        <v>7</v>
      </c>
      <c r="M43" s="25" t="s">
        <v>7</v>
      </c>
      <c r="N43" s="25" t="s">
        <v>64</v>
      </c>
      <c r="AH43" s="11"/>
    </row>
    <row r="44" spans="2:34" ht="15" customHeight="1" x14ac:dyDescent="0.2">
      <c r="B44" s="139" t="s">
        <v>223</v>
      </c>
      <c r="C44" s="39"/>
      <c r="D44" s="44"/>
      <c r="E44" s="47">
        <v>1205</v>
      </c>
      <c r="F44" s="48"/>
      <c r="G44" s="48"/>
      <c r="H44" s="48"/>
      <c r="I44" s="48"/>
      <c r="J44" s="48"/>
      <c r="K44" s="48"/>
      <c r="L44" s="48"/>
      <c r="M44" s="48"/>
      <c r="N44" s="48"/>
    </row>
    <row r="45" spans="2:34" ht="15" customHeight="1" x14ac:dyDescent="0.2">
      <c r="B45" s="139" t="s">
        <v>224</v>
      </c>
      <c r="C45" s="39" t="s">
        <v>238</v>
      </c>
      <c r="D45" s="45"/>
      <c r="E45" s="50"/>
      <c r="F45" s="51"/>
      <c r="G45" s="51"/>
      <c r="H45" s="51"/>
      <c r="I45" s="51"/>
      <c r="J45" s="51"/>
      <c r="K45" s="51"/>
      <c r="L45" s="51"/>
      <c r="M45" s="51">
        <v>17269</v>
      </c>
      <c r="N45" s="51"/>
    </row>
    <row r="46" spans="2:34" ht="15" customHeight="1" x14ac:dyDescent="0.2">
      <c r="B46" s="139" t="s">
        <v>225</v>
      </c>
      <c r="C46" s="39" t="s">
        <v>233</v>
      </c>
      <c r="D46" s="45"/>
      <c r="E46" s="50"/>
      <c r="F46" s="51">
        <v>243504</v>
      </c>
      <c r="G46" s="51"/>
      <c r="H46" s="51"/>
      <c r="I46" s="51"/>
      <c r="J46" s="51"/>
      <c r="K46" s="51"/>
      <c r="L46" s="51"/>
      <c r="M46" s="51"/>
      <c r="N46" s="51"/>
    </row>
    <row r="47" spans="2:34" ht="15" customHeight="1" x14ac:dyDescent="0.2">
      <c r="B47" s="139" t="s">
        <v>226</v>
      </c>
      <c r="C47" s="39" t="s">
        <v>239</v>
      </c>
      <c r="D47" s="38"/>
      <c r="E47" s="50"/>
      <c r="F47" s="51">
        <v>182972</v>
      </c>
      <c r="G47" s="51"/>
      <c r="H47" s="51"/>
      <c r="I47" s="51"/>
      <c r="J47" s="51"/>
      <c r="K47" s="51"/>
      <c r="L47" s="51"/>
      <c r="M47" s="51"/>
      <c r="N47" s="51"/>
    </row>
    <row r="48" spans="2:34" ht="15" customHeight="1" x14ac:dyDescent="0.2">
      <c r="B48" s="139" t="s">
        <v>227</v>
      </c>
      <c r="C48" s="39" t="s">
        <v>240</v>
      </c>
      <c r="D48" s="39"/>
      <c r="E48" s="50"/>
      <c r="F48" s="51">
        <v>55670</v>
      </c>
      <c r="G48" s="51"/>
      <c r="H48" s="51"/>
      <c r="I48" s="51"/>
      <c r="J48" s="51"/>
      <c r="K48" s="51"/>
      <c r="L48" s="51"/>
      <c r="M48" s="51"/>
      <c r="N48" s="51"/>
    </row>
    <row r="49" spans="2:14" ht="15" customHeight="1" x14ac:dyDescent="0.2">
      <c r="B49" s="139" t="s">
        <v>247</v>
      </c>
      <c r="C49" s="39" t="s">
        <v>242</v>
      </c>
      <c r="D49" s="39"/>
      <c r="E49" s="50"/>
      <c r="F49" s="51"/>
      <c r="G49" s="51"/>
      <c r="H49" s="51"/>
      <c r="I49" s="51"/>
      <c r="J49" s="51"/>
      <c r="K49" s="51"/>
      <c r="L49" s="51"/>
      <c r="M49" s="51">
        <v>3340</v>
      </c>
      <c r="N49" s="51"/>
    </row>
    <row r="50" spans="2:14" ht="15" customHeight="1" x14ac:dyDescent="0.2">
      <c r="B50" s="139"/>
      <c r="C50" s="39"/>
      <c r="D50" s="39"/>
      <c r="E50" s="50"/>
      <c r="F50" s="51"/>
      <c r="G50" s="51"/>
      <c r="H50" s="51"/>
      <c r="I50" s="51"/>
      <c r="J50" s="51"/>
      <c r="K50" s="51"/>
      <c r="L50" s="51"/>
      <c r="M50" s="51"/>
      <c r="N50" s="51"/>
    </row>
    <row r="51" spans="2:14" ht="15" customHeight="1" x14ac:dyDescent="0.2">
      <c r="B51" s="41"/>
      <c r="C51" s="39"/>
      <c r="D51" s="39"/>
      <c r="E51" s="50"/>
      <c r="F51" s="51"/>
      <c r="G51" s="51"/>
      <c r="H51" s="51"/>
      <c r="I51" s="51"/>
      <c r="J51" s="51"/>
      <c r="K51" s="51"/>
      <c r="L51" s="51"/>
      <c r="M51" s="51"/>
      <c r="N51" s="51"/>
    </row>
    <row r="52" spans="2:14" ht="15" customHeight="1" x14ac:dyDescent="0.2">
      <c r="B52" s="41"/>
      <c r="C52" s="39"/>
      <c r="D52" s="39"/>
      <c r="E52" s="50"/>
      <c r="F52" s="51"/>
      <c r="G52" s="51"/>
      <c r="H52" s="51"/>
      <c r="I52" s="51"/>
      <c r="J52" s="51"/>
      <c r="K52" s="51"/>
      <c r="L52" s="51"/>
      <c r="M52" s="51"/>
      <c r="N52" s="51"/>
    </row>
    <row r="53" spans="2:14" ht="15" customHeight="1" x14ac:dyDescent="0.2">
      <c r="B53" s="41"/>
      <c r="C53" s="39"/>
      <c r="D53" s="39"/>
      <c r="E53" s="50"/>
      <c r="F53" s="51"/>
      <c r="G53" s="51"/>
      <c r="H53" s="51"/>
      <c r="I53" s="51"/>
      <c r="J53" s="51"/>
      <c r="K53" s="51"/>
      <c r="L53" s="51"/>
      <c r="M53" s="51"/>
      <c r="N53" s="51"/>
    </row>
    <row r="54" spans="2:14" ht="15" customHeight="1" x14ac:dyDescent="0.2">
      <c r="B54" s="41"/>
      <c r="C54" s="39"/>
      <c r="D54" s="39"/>
      <c r="E54" s="50"/>
      <c r="F54" s="51"/>
      <c r="G54" s="51"/>
      <c r="H54" s="51"/>
      <c r="I54" s="51"/>
      <c r="J54" s="51"/>
      <c r="K54" s="51"/>
      <c r="L54" s="51"/>
      <c r="M54" s="51"/>
      <c r="N54" s="51"/>
    </row>
    <row r="55" spans="2:14" ht="15" customHeight="1" x14ac:dyDescent="0.2">
      <c r="B55" s="41"/>
      <c r="C55" s="39"/>
      <c r="D55" s="39"/>
      <c r="E55" s="50"/>
      <c r="F55" s="51"/>
      <c r="G55" s="51"/>
      <c r="H55" s="51"/>
      <c r="I55" s="51"/>
      <c r="J55" s="51"/>
      <c r="K55" s="51"/>
      <c r="L55" s="51"/>
      <c r="M55" s="51"/>
      <c r="N55" s="51"/>
    </row>
    <row r="56" spans="2:14" ht="15" customHeight="1" x14ac:dyDescent="0.2">
      <c r="B56" s="41"/>
      <c r="C56" s="39"/>
      <c r="D56" s="39"/>
      <c r="E56" s="50"/>
      <c r="F56" s="51"/>
      <c r="G56" s="51"/>
      <c r="H56" s="51"/>
      <c r="I56" s="51"/>
      <c r="J56" s="51"/>
      <c r="K56" s="51"/>
      <c r="L56" s="51"/>
      <c r="M56" s="51"/>
      <c r="N56" s="51"/>
    </row>
    <row r="57" spans="2:14" ht="15" customHeight="1" x14ac:dyDescent="0.2">
      <c r="B57" s="41"/>
      <c r="C57" s="39"/>
      <c r="D57" s="39"/>
      <c r="E57" s="50"/>
      <c r="F57" s="51"/>
      <c r="G57" s="51"/>
      <c r="H57" s="51"/>
      <c r="I57" s="51"/>
      <c r="J57" s="51"/>
      <c r="K57" s="51"/>
      <c r="L57" s="51"/>
      <c r="M57" s="51"/>
      <c r="N57" s="51"/>
    </row>
    <row r="58" spans="2:14" ht="15" customHeight="1" x14ac:dyDescent="0.2">
      <c r="B58" s="41"/>
      <c r="C58" s="39"/>
      <c r="D58" s="39"/>
      <c r="E58" s="50"/>
      <c r="F58" s="51"/>
      <c r="G58" s="51"/>
      <c r="H58" s="51"/>
      <c r="I58" s="51"/>
      <c r="J58" s="51"/>
      <c r="K58" s="51"/>
      <c r="L58" s="51"/>
      <c r="M58" s="51"/>
      <c r="N58" s="51"/>
    </row>
    <row r="59" spans="2:14" ht="15" customHeight="1" x14ac:dyDescent="0.2">
      <c r="B59" s="41"/>
      <c r="C59" s="39"/>
      <c r="D59" s="39"/>
      <c r="E59" s="50"/>
      <c r="F59" s="51"/>
      <c r="G59" s="51"/>
      <c r="H59" s="51"/>
      <c r="I59" s="51"/>
      <c r="J59" s="51"/>
      <c r="K59" s="51"/>
      <c r="L59" s="51"/>
      <c r="M59" s="51"/>
      <c r="N59" s="51"/>
    </row>
    <row r="60" spans="2:14" ht="15" customHeight="1" x14ac:dyDescent="0.2">
      <c r="B60" s="41"/>
      <c r="C60" s="39"/>
      <c r="D60" s="39"/>
      <c r="E60" s="50"/>
      <c r="F60" s="51"/>
      <c r="G60" s="51"/>
      <c r="H60" s="51"/>
      <c r="I60" s="51"/>
      <c r="J60" s="51"/>
      <c r="K60" s="51"/>
      <c r="L60" s="51"/>
      <c r="M60" s="51"/>
      <c r="N60" s="51"/>
    </row>
    <row r="61" spans="2:14" ht="15" customHeight="1" x14ac:dyDescent="0.2">
      <c r="B61" s="41"/>
      <c r="C61" s="39"/>
      <c r="D61" s="39"/>
      <c r="E61" s="50"/>
      <c r="F61" s="51"/>
      <c r="G61" s="51"/>
      <c r="H61" s="51"/>
      <c r="I61" s="51"/>
      <c r="J61" s="51"/>
      <c r="K61" s="51"/>
      <c r="L61" s="51"/>
      <c r="M61" s="51"/>
      <c r="N61" s="51"/>
    </row>
    <row r="62" spans="2:14" ht="15" customHeight="1" x14ac:dyDescent="0.2">
      <c r="B62" s="41"/>
      <c r="C62" s="39"/>
      <c r="D62" s="39"/>
      <c r="E62" s="50"/>
      <c r="F62" s="51"/>
      <c r="G62" s="51"/>
      <c r="H62" s="51"/>
      <c r="I62" s="51"/>
      <c r="J62" s="51"/>
      <c r="K62" s="51"/>
      <c r="L62" s="51"/>
      <c r="M62" s="51"/>
      <c r="N62" s="51"/>
    </row>
    <row r="63" spans="2:14" ht="15" customHeight="1" x14ac:dyDescent="0.2">
      <c r="B63" s="41"/>
      <c r="C63" s="39"/>
      <c r="D63" s="39"/>
      <c r="E63" s="50"/>
      <c r="F63" s="51"/>
      <c r="G63" s="51"/>
      <c r="H63" s="51"/>
      <c r="I63" s="51"/>
      <c r="J63" s="51"/>
      <c r="K63" s="51"/>
      <c r="L63" s="51"/>
      <c r="M63" s="51"/>
      <c r="N63" s="51"/>
    </row>
    <row r="64" spans="2:14" ht="15" customHeight="1" x14ac:dyDescent="0.2">
      <c r="B64" s="42"/>
      <c r="C64" s="40"/>
      <c r="D64" s="40"/>
      <c r="E64" s="53"/>
      <c r="F64" s="54"/>
      <c r="G64" s="54"/>
      <c r="H64" s="54"/>
      <c r="I64" s="54"/>
      <c r="J64" s="54"/>
      <c r="K64" s="54"/>
      <c r="L64" s="54"/>
      <c r="M64" s="54"/>
      <c r="N64" s="54"/>
    </row>
    <row r="65" spans="1:34" ht="15" customHeight="1" x14ac:dyDescent="0.2">
      <c r="E65" s="7"/>
      <c r="F65" s="7"/>
      <c r="G65" s="7"/>
      <c r="H65" s="7"/>
      <c r="I65" s="7"/>
      <c r="J65" s="7"/>
      <c r="K65" s="7"/>
      <c r="L65" s="7"/>
      <c r="M65" s="7"/>
      <c r="N65" s="7"/>
    </row>
    <row r="66" spans="1:34" ht="17.25" customHeight="1" x14ac:dyDescent="0.2">
      <c r="B66" s="6" t="s">
        <v>32</v>
      </c>
      <c r="C66" s="6"/>
      <c r="D66" s="6"/>
      <c r="E66" s="10" t="s">
        <v>4</v>
      </c>
      <c r="F66" s="173" t="str">
        <f>C3</f>
        <v>Snohomish PUD</v>
      </c>
      <c r="G66" s="174"/>
      <c r="H66" s="175"/>
    </row>
    <row r="67" spans="1:34" ht="15" customHeight="1" x14ac:dyDescent="0.2">
      <c r="E67" s="10" t="s">
        <v>13</v>
      </c>
      <c r="F67" s="176">
        <v>2014</v>
      </c>
      <c r="G67" s="177"/>
      <c r="H67" s="178"/>
    </row>
    <row r="68" spans="1:34" ht="15" customHeight="1" x14ac:dyDescent="0.2">
      <c r="B68" s="10"/>
      <c r="C68" s="10"/>
      <c r="D68" s="10"/>
      <c r="E68" s="8"/>
      <c r="H68" s="26"/>
      <c r="I68" s="7"/>
    </row>
    <row r="69" spans="1:34" s="7" customFormat="1" ht="16.5" customHeight="1" x14ac:dyDescent="0.2">
      <c r="B69" s="6"/>
      <c r="C69" s="6"/>
      <c r="D69" s="6"/>
      <c r="E69" s="33" t="s">
        <v>14</v>
      </c>
      <c r="F69" s="31" t="s">
        <v>15</v>
      </c>
      <c r="G69" s="31" t="s">
        <v>16</v>
      </c>
      <c r="H69" s="31" t="s">
        <v>17</v>
      </c>
      <c r="I69" s="31" t="s">
        <v>18</v>
      </c>
      <c r="J69" s="31" t="s">
        <v>19</v>
      </c>
      <c r="K69" s="31" t="s">
        <v>20</v>
      </c>
      <c r="L69" s="31" t="s">
        <v>21</v>
      </c>
      <c r="M69" s="32" t="s">
        <v>22</v>
      </c>
      <c r="N69" s="32" t="s">
        <v>86</v>
      </c>
      <c r="O69" s="32" t="s">
        <v>87</v>
      </c>
      <c r="AH69" s="1"/>
    </row>
    <row r="70" spans="1:34" s="11" customFormat="1" ht="36" x14ac:dyDescent="0.2">
      <c r="B70" s="10"/>
      <c r="C70" s="10"/>
      <c r="D70" s="10"/>
      <c r="E70" s="27" t="s">
        <v>33</v>
      </c>
      <c r="F70" s="27" t="s">
        <v>24</v>
      </c>
      <c r="G70" s="27" t="s">
        <v>25</v>
      </c>
      <c r="H70" s="27" t="s">
        <v>26</v>
      </c>
      <c r="I70" s="27" t="s">
        <v>27</v>
      </c>
      <c r="J70" s="27" t="s">
        <v>42</v>
      </c>
      <c r="K70" s="27" t="s">
        <v>28</v>
      </c>
      <c r="L70" s="27" t="s">
        <v>29</v>
      </c>
      <c r="M70" s="27" t="s">
        <v>30</v>
      </c>
      <c r="N70" s="27" t="s">
        <v>34</v>
      </c>
      <c r="O70" s="27" t="s">
        <v>31</v>
      </c>
      <c r="AH70" s="7"/>
    </row>
    <row r="71" spans="1:34" ht="15" customHeight="1" x14ac:dyDescent="0.2">
      <c r="B71" s="77" t="s">
        <v>35</v>
      </c>
      <c r="C71" s="43" t="s">
        <v>62</v>
      </c>
      <c r="D71" s="43" t="s">
        <v>63</v>
      </c>
      <c r="E71" s="25" t="s">
        <v>7</v>
      </c>
      <c r="F71" s="25" t="s">
        <v>7</v>
      </c>
      <c r="G71" s="25" t="s">
        <v>7</v>
      </c>
      <c r="H71" s="25" t="s">
        <v>7</v>
      </c>
      <c r="I71" s="25" t="s">
        <v>7</v>
      </c>
      <c r="J71" s="25" t="s">
        <v>7</v>
      </c>
      <c r="K71" s="25" t="s">
        <v>7</v>
      </c>
      <c r="L71" s="25" t="s">
        <v>7</v>
      </c>
      <c r="M71" s="25" t="s">
        <v>7</v>
      </c>
      <c r="N71" s="25" t="s">
        <v>64</v>
      </c>
      <c r="O71" s="25" t="s">
        <v>64</v>
      </c>
      <c r="AH71" s="11"/>
    </row>
    <row r="72" spans="1:34" ht="15" customHeight="1" x14ac:dyDescent="0.2">
      <c r="A72" s="7"/>
      <c r="B72" s="139" t="s">
        <v>228</v>
      </c>
      <c r="C72" s="41" t="s">
        <v>241</v>
      </c>
      <c r="D72" s="41">
        <v>2014</v>
      </c>
      <c r="E72" s="56"/>
      <c r="F72" s="48"/>
      <c r="G72" s="48">
        <v>1759</v>
      </c>
      <c r="H72" s="48"/>
      <c r="I72" s="48"/>
      <c r="J72" s="48"/>
      <c r="K72" s="48"/>
      <c r="L72" s="48"/>
      <c r="M72" s="48"/>
      <c r="N72" s="48"/>
      <c r="O72" s="49">
        <v>1759</v>
      </c>
    </row>
    <row r="73" spans="1:34" ht="15" customHeight="1" x14ac:dyDescent="0.2">
      <c r="A73" s="7"/>
      <c r="B73" s="139" t="s">
        <v>229</v>
      </c>
      <c r="C73" s="41" t="s">
        <v>234</v>
      </c>
      <c r="D73" s="41">
        <v>2014</v>
      </c>
      <c r="E73" s="57"/>
      <c r="F73" s="51">
        <v>7758</v>
      </c>
      <c r="G73" s="51"/>
      <c r="H73" s="51"/>
      <c r="I73" s="51"/>
      <c r="J73" s="51"/>
      <c r="K73" s="51"/>
      <c r="L73" s="51"/>
      <c r="M73" s="51"/>
      <c r="N73" s="51"/>
      <c r="O73" s="52"/>
    </row>
    <row r="74" spans="1:34" ht="15" customHeight="1" x14ac:dyDescent="0.2">
      <c r="A74" s="7"/>
      <c r="B74" s="139" t="s">
        <v>230</v>
      </c>
      <c r="C74" s="41" t="s">
        <v>235</v>
      </c>
      <c r="D74" s="41">
        <v>2014</v>
      </c>
      <c r="E74" s="57"/>
      <c r="F74" s="51">
        <v>4724</v>
      </c>
      <c r="G74" s="51"/>
      <c r="H74" s="51"/>
      <c r="I74" s="51"/>
      <c r="J74" s="51"/>
      <c r="K74" s="51"/>
      <c r="L74" s="51"/>
      <c r="M74" s="51"/>
      <c r="N74" s="51"/>
      <c r="O74" s="52"/>
    </row>
    <row r="75" spans="1:34" ht="15" customHeight="1" x14ac:dyDescent="0.2">
      <c r="A75" s="7"/>
      <c r="B75" s="139" t="s">
        <v>231</v>
      </c>
      <c r="C75" s="41" t="s">
        <v>236</v>
      </c>
      <c r="D75" s="41">
        <v>2014</v>
      </c>
      <c r="E75" s="57"/>
      <c r="F75" s="51">
        <v>11430</v>
      </c>
      <c r="G75" s="51"/>
      <c r="H75" s="51"/>
      <c r="I75" s="51"/>
      <c r="J75" s="51"/>
      <c r="K75" s="51"/>
      <c r="L75" s="51"/>
      <c r="M75" s="51"/>
      <c r="N75" s="51"/>
      <c r="O75" s="52"/>
    </row>
    <row r="76" spans="1:34" ht="15" customHeight="1" x14ac:dyDescent="0.2">
      <c r="A76" s="7"/>
      <c r="B76" s="139" t="s">
        <v>232</v>
      </c>
      <c r="C76" s="41" t="s">
        <v>237</v>
      </c>
      <c r="D76" s="41">
        <v>2014</v>
      </c>
      <c r="E76" s="58"/>
      <c r="F76" s="51">
        <v>15719</v>
      </c>
      <c r="G76" s="51"/>
      <c r="H76" s="51"/>
      <c r="I76" s="51"/>
      <c r="J76" s="51"/>
      <c r="K76" s="51"/>
      <c r="L76" s="51"/>
      <c r="M76" s="51"/>
      <c r="N76" s="51"/>
      <c r="O76" s="52"/>
    </row>
    <row r="77" spans="1:34" ht="15" customHeight="1" x14ac:dyDescent="0.2">
      <c r="A77" s="7"/>
      <c r="B77" s="139" t="s">
        <v>224</v>
      </c>
      <c r="C77" s="41" t="s">
        <v>238</v>
      </c>
      <c r="D77" s="41">
        <v>2014</v>
      </c>
      <c r="E77" s="58"/>
      <c r="F77" s="51"/>
      <c r="G77" s="51"/>
      <c r="H77" s="51"/>
      <c r="I77" s="51"/>
      <c r="J77" s="51"/>
      <c r="K77" s="51"/>
      <c r="L77" s="51"/>
      <c r="M77" s="51"/>
      <c r="N77" s="51"/>
      <c r="O77" s="52">
        <v>17269</v>
      </c>
    </row>
    <row r="78" spans="1:34" ht="15" customHeight="1" x14ac:dyDescent="0.2">
      <c r="A78" s="7"/>
      <c r="B78" s="139" t="s">
        <v>247</v>
      </c>
      <c r="C78" s="41" t="s">
        <v>242</v>
      </c>
      <c r="D78" s="41">
        <v>2014</v>
      </c>
      <c r="E78" s="58"/>
      <c r="F78" s="51"/>
      <c r="G78" s="51"/>
      <c r="H78" s="51"/>
      <c r="I78" s="51"/>
      <c r="J78" s="51"/>
      <c r="K78" s="51"/>
      <c r="L78" s="51"/>
      <c r="M78" s="51"/>
      <c r="N78" s="51"/>
      <c r="O78" s="52">
        <v>3340</v>
      </c>
    </row>
    <row r="79" spans="1:34" ht="15" customHeight="1" x14ac:dyDescent="0.2">
      <c r="B79" s="41"/>
      <c r="C79" s="41"/>
      <c r="D79" s="41"/>
      <c r="E79" s="58"/>
      <c r="F79" s="51"/>
      <c r="G79" s="51"/>
      <c r="H79" s="51"/>
      <c r="I79" s="51"/>
      <c r="J79" s="51"/>
      <c r="K79" s="51"/>
      <c r="L79" s="51"/>
      <c r="M79" s="51"/>
      <c r="N79" s="51"/>
      <c r="O79" s="52"/>
    </row>
    <row r="80" spans="1:34" ht="15" customHeight="1" x14ac:dyDescent="0.2">
      <c r="B80" s="139" t="s">
        <v>225</v>
      </c>
      <c r="C80" s="41" t="s">
        <v>233</v>
      </c>
      <c r="D80" s="41">
        <v>2013</v>
      </c>
      <c r="E80" s="58"/>
      <c r="F80" s="51">
        <v>154311</v>
      </c>
      <c r="G80" s="51"/>
      <c r="H80" s="51"/>
      <c r="I80" s="51"/>
      <c r="J80" s="51"/>
      <c r="K80" s="51"/>
      <c r="L80" s="51"/>
      <c r="M80" s="51"/>
      <c r="N80" s="51"/>
      <c r="O80" s="52"/>
    </row>
    <row r="81" spans="2:15" ht="15" customHeight="1" x14ac:dyDescent="0.2">
      <c r="B81" s="139" t="s">
        <v>229</v>
      </c>
      <c r="C81" s="41" t="s">
        <v>234</v>
      </c>
      <c r="D81" s="46">
        <v>2013</v>
      </c>
      <c r="E81" s="58"/>
      <c r="F81" s="51">
        <v>492</v>
      </c>
      <c r="G81" s="51"/>
      <c r="H81" s="51"/>
      <c r="I81" s="51"/>
      <c r="J81" s="51"/>
      <c r="K81" s="51"/>
      <c r="L81" s="51"/>
      <c r="M81" s="51"/>
      <c r="N81" s="51"/>
      <c r="O81" s="52"/>
    </row>
    <row r="82" spans="2:15" ht="15" customHeight="1" x14ac:dyDescent="0.2">
      <c r="B82" s="139" t="s">
        <v>230</v>
      </c>
      <c r="C82" s="41" t="s">
        <v>235</v>
      </c>
      <c r="D82" s="41">
        <v>2013</v>
      </c>
      <c r="E82" s="58"/>
      <c r="F82" s="51">
        <v>4724</v>
      </c>
      <c r="G82" s="51"/>
      <c r="H82" s="51"/>
      <c r="I82" s="51"/>
      <c r="J82" s="51"/>
      <c r="K82" s="51"/>
      <c r="L82" s="51"/>
      <c r="M82" s="51"/>
      <c r="N82" s="51"/>
      <c r="O82" s="52"/>
    </row>
    <row r="83" spans="2:15" ht="15" customHeight="1" x14ac:dyDescent="0.2">
      <c r="B83" s="139" t="s">
        <v>231</v>
      </c>
      <c r="C83" s="41" t="s">
        <v>236</v>
      </c>
      <c r="D83" s="41">
        <v>2013</v>
      </c>
      <c r="E83" s="58"/>
      <c r="F83" s="51">
        <v>11430</v>
      </c>
      <c r="G83" s="51"/>
      <c r="H83" s="51"/>
      <c r="I83" s="51"/>
      <c r="J83" s="51"/>
      <c r="K83" s="51"/>
      <c r="L83" s="51"/>
      <c r="M83" s="51"/>
      <c r="N83" s="51"/>
      <c r="O83" s="52"/>
    </row>
    <row r="84" spans="2:15" ht="15" customHeight="1" x14ac:dyDescent="0.2">
      <c r="B84" s="139" t="s">
        <v>232</v>
      </c>
      <c r="C84" s="41" t="s">
        <v>237</v>
      </c>
      <c r="D84" s="41">
        <v>2013</v>
      </c>
      <c r="E84" s="58"/>
      <c r="F84" s="51">
        <v>15719</v>
      </c>
      <c r="G84" s="51"/>
      <c r="H84" s="51"/>
      <c r="I84" s="51"/>
      <c r="J84" s="51"/>
      <c r="K84" s="51"/>
      <c r="L84" s="51"/>
      <c r="M84" s="51"/>
      <c r="N84" s="51"/>
      <c r="O84" s="52"/>
    </row>
    <row r="85" spans="2:15" ht="15" customHeight="1" x14ac:dyDescent="0.2">
      <c r="B85" s="41"/>
      <c r="C85" s="41"/>
      <c r="D85" s="41"/>
      <c r="E85" s="58"/>
      <c r="F85" s="51"/>
      <c r="G85" s="51"/>
      <c r="H85" s="51"/>
      <c r="I85" s="51"/>
      <c r="J85" s="51"/>
      <c r="K85" s="51"/>
      <c r="L85" s="51"/>
      <c r="M85" s="51"/>
      <c r="N85" s="51"/>
      <c r="O85" s="52"/>
    </row>
    <row r="86" spans="2:15" ht="15" customHeight="1" x14ac:dyDescent="0.2">
      <c r="B86" s="41"/>
      <c r="C86" s="41"/>
      <c r="D86" s="41"/>
      <c r="E86" s="58"/>
      <c r="F86" s="51"/>
      <c r="G86" s="51"/>
      <c r="H86" s="51"/>
      <c r="I86" s="51"/>
      <c r="J86" s="51"/>
      <c r="K86" s="51"/>
      <c r="L86" s="51"/>
      <c r="M86" s="51"/>
      <c r="N86" s="51"/>
      <c r="O86" s="52"/>
    </row>
    <row r="87" spans="2:15" ht="15" customHeight="1" x14ac:dyDescent="0.2">
      <c r="B87" s="41"/>
      <c r="C87" s="41"/>
      <c r="D87" s="41"/>
      <c r="E87" s="58"/>
      <c r="F87" s="51"/>
      <c r="G87" s="51"/>
      <c r="H87" s="51"/>
      <c r="I87" s="51"/>
      <c r="J87" s="51"/>
      <c r="K87" s="51"/>
      <c r="L87" s="51"/>
      <c r="M87" s="51"/>
      <c r="N87" s="51"/>
      <c r="O87" s="52"/>
    </row>
    <row r="88" spans="2:15" ht="15" customHeight="1" x14ac:dyDescent="0.2">
      <c r="B88" s="41"/>
      <c r="C88" s="41"/>
      <c r="D88" s="41"/>
      <c r="E88" s="58"/>
      <c r="F88" s="51"/>
      <c r="G88" s="51"/>
      <c r="H88" s="51"/>
      <c r="I88" s="51"/>
      <c r="J88" s="51"/>
      <c r="K88" s="51"/>
      <c r="L88" s="51"/>
      <c r="M88" s="51"/>
      <c r="N88" s="51"/>
      <c r="O88" s="52"/>
    </row>
    <row r="89" spans="2:15" ht="15" customHeight="1" x14ac:dyDescent="0.2">
      <c r="B89" s="41"/>
      <c r="C89" s="41"/>
      <c r="D89" s="41"/>
      <c r="E89" s="58"/>
      <c r="F89" s="51"/>
      <c r="G89" s="51"/>
      <c r="H89" s="51"/>
      <c r="I89" s="51"/>
      <c r="J89" s="51"/>
      <c r="K89" s="51"/>
      <c r="L89" s="51"/>
      <c r="M89" s="51"/>
      <c r="N89" s="51"/>
      <c r="O89" s="52"/>
    </row>
    <row r="90" spans="2:15" ht="15" customHeight="1" x14ac:dyDescent="0.2">
      <c r="B90" s="41"/>
      <c r="C90" s="41"/>
      <c r="D90" s="41"/>
      <c r="E90" s="58"/>
      <c r="F90" s="51"/>
      <c r="G90" s="51"/>
      <c r="H90" s="51"/>
      <c r="I90" s="51"/>
      <c r="J90" s="51"/>
      <c r="K90" s="51"/>
      <c r="L90" s="51"/>
      <c r="M90" s="51"/>
      <c r="N90" s="51"/>
      <c r="O90" s="52"/>
    </row>
    <row r="91" spans="2:15" ht="15" customHeight="1" x14ac:dyDescent="0.2">
      <c r="B91" s="41"/>
      <c r="C91" s="41"/>
      <c r="D91" s="41"/>
      <c r="E91" s="58"/>
      <c r="F91" s="51"/>
      <c r="G91" s="51"/>
      <c r="H91" s="51"/>
      <c r="I91" s="51"/>
      <c r="J91" s="51"/>
      <c r="K91" s="51"/>
      <c r="L91" s="51"/>
      <c r="M91" s="51"/>
      <c r="N91" s="51"/>
      <c r="O91" s="52"/>
    </row>
    <row r="92" spans="2:15" ht="15" customHeight="1" x14ac:dyDescent="0.2">
      <c r="B92" s="41"/>
      <c r="C92" s="41"/>
      <c r="D92" s="41"/>
      <c r="E92" s="58"/>
      <c r="F92" s="51"/>
      <c r="G92" s="51"/>
      <c r="H92" s="51"/>
      <c r="I92" s="51"/>
      <c r="J92" s="51"/>
      <c r="K92" s="51"/>
      <c r="L92" s="51"/>
      <c r="M92" s="51"/>
      <c r="N92" s="51"/>
      <c r="O92" s="52"/>
    </row>
    <row r="93" spans="2:15" ht="15" customHeight="1" x14ac:dyDescent="0.2">
      <c r="B93" s="41"/>
      <c r="C93" s="41"/>
      <c r="D93" s="41"/>
      <c r="E93" s="58"/>
      <c r="F93" s="51"/>
      <c r="G93" s="51"/>
      <c r="H93" s="51"/>
      <c r="I93" s="51"/>
      <c r="J93" s="51"/>
      <c r="K93" s="51"/>
      <c r="L93" s="51"/>
      <c r="M93" s="51"/>
      <c r="N93" s="51"/>
      <c r="O93" s="52"/>
    </row>
    <row r="94" spans="2:15" ht="15" customHeight="1" x14ac:dyDescent="0.2">
      <c r="B94" s="41"/>
      <c r="C94" s="41"/>
      <c r="D94" s="41"/>
      <c r="E94" s="58"/>
      <c r="F94" s="51"/>
      <c r="G94" s="51"/>
      <c r="H94" s="51"/>
      <c r="I94" s="51"/>
      <c r="J94" s="51"/>
      <c r="K94" s="51"/>
      <c r="L94" s="51"/>
      <c r="M94" s="51"/>
      <c r="N94" s="51"/>
      <c r="O94" s="52"/>
    </row>
    <row r="95" spans="2:15" ht="15" customHeight="1" x14ac:dyDescent="0.2">
      <c r="B95" s="41"/>
      <c r="C95" s="41"/>
      <c r="D95" s="41"/>
      <c r="E95" s="58"/>
      <c r="F95" s="51"/>
      <c r="G95" s="51"/>
      <c r="H95" s="51"/>
      <c r="I95" s="51"/>
      <c r="J95" s="51"/>
      <c r="K95" s="51"/>
      <c r="L95" s="51"/>
      <c r="M95" s="51"/>
      <c r="N95" s="51"/>
      <c r="O95" s="52"/>
    </row>
    <row r="96" spans="2:15" ht="15" customHeight="1" x14ac:dyDescent="0.2">
      <c r="B96" s="41"/>
      <c r="C96" s="41"/>
      <c r="D96" s="41"/>
      <c r="E96" s="58"/>
      <c r="F96" s="51"/>
      <c r="G96" s="51"/>
      <c r="H96" s="51"/>
      <c r="I96" s="51"/>
      <c r="J96" s="51"/>
      <c r="K96" s="51"/>
      <c r="L96" s="51"/>
      <c r="M96" s="51"/>
      <c r="N96" s="51"/>
      <c r="O96" s="52"/>
    </row>
    <row r="97" spans="2:34" ht="15" customHeight="1" x14ac:dyDescent="0.2">
      <c r="B97" s="42"/>
      <c r="C97" s="42"/>
      <c r="D97" s="42"/>
      <c r="E97" s="59"/>
      <c r="F97" s="54"/>
      <c r="G97" s="54"/>
      <c r="H97" s="54"/>
      <c r="I97" s="54"/>
      <c r="J97" s="54"/>
      <c r="K97" s="54"/>
      <c r="L97" s="54"/>
      <c r="M97" s="54"/>
      <c r="N97" s="54"/>
      <c r="O97" s="55"/>
    </row>
    <row r="98" spans="2:34" ht="15" customHeight="1" x14ac:dyDescent="0.2"/>
    <row r="99" spans="2:34" ht="15" customHeight="1" x14ac:dyDescent="0.2">
      <c r="B99" s="11"/>
      <c r="C99" s="11"/>
      <c r="D99" s="11"/>
      <c r="E99" s="10" t="s">
        <v>4</v>
      </c>
      <c r="F99" s="173" t="str">
        <f>C3</f>
        <v>Snohomish PUD</v>
      </c>
      <c r="G99" s="174"/>
      <c r="H99" s="175"/>
    </row>
    <row r="100" spans="2:34" ht="15" customHeight="1" x14ac:dyDescent="0.2">
      <c r="E100" s="10" t="s">
        <v>50</v>
      </c>
      <c r="F100" s="176">
        <v>2014</v>
      </c>
      <c r="G100" s="177"/>
      <c r="H100" s="178"/>
    </row>
    <row r="101" spans="2:34" ht="15" customHeight="1" x14ac:dyDescent="0.2">
      <c r="B101" s="11" t="s">
        <v>78</v>
      </c>
      <c r="C101" s="11"/>
      <c r="D101" s="11"/>
      <c r="E101" s="10"/>
      <c r="F101" s="71"/>
    </row>
    <row r="102" spans="2:34" ht="15" customHeight="1" x14ac:dyDescent="0.2">
      <c r="B102" s="28"/>
      <c r="C102" s="28"/>
      <c r="D102" s="28"/>
      <c r="E102" s="28"/>
      <c r="F102" s="28"/>
      <c r="G102" s="28"/>
      <c r="H102" s="28"/>
      <c r="I102" s="28"/>
      <c r="J102" s="28"/>
      <c r="K102" s="28"/>
      <c r="L102" s="28"/>
      <c r="M102" s="28"/>
    </row>
    <row r="103" spans="2:34" ht="15" customHeight="1" x14ac:dyDescent="0.2">
      <c r="B103" s="28"/>
      <c r="C103" s="28"/>
      <c r="D103" s="28"/>
      <c r="E103" s="28"/>
      <c r="F103" s="28"/>
      <c r="G103" s="28"/>
      <c r="H103" s="28"/>
      <c r="I103" s="28"/>
      <c r="J103" s="28"/>
      <c r="K103" s="28"/>
      <c r="L103" s="28"/>
      <c r="M103" s="28"/>
    </row>
    <row r="104" spans="2:34" s="7" customFormat="1" ht="15" customHeight="1" x14ac:dyDescent="0.2">
      <c r="B104" s="28"/>
      <c r="C104" s="28"/>
      <c r="D104" s="28"/>
      <c r="E104" s="28"/>
      <c r="F104" s="28"/>
      <c r="G104" s="28"/>
      <c r="H104" s="28"/>
      <c r="I104" s="28"/>
      <c r="J104" s="28"/>
      <c r="K104" s="28"/>
      <c r="L104" s="28"/>
      <c r="M104" s="28"/>
      <c r="AH104" s="1"/>
    </row>
    <row r="105" spans="2:34" s="7" customFormat="1" ht="15" customHeight="1" x14ac:dyDescent="0.2">
      <c r="B105" s="28"/>
      <c r="C105" s="28"/>
      <c r="D105" s="28"/>
      <c r="E105" s="28"/>
      <c r="F105" s="28"/>
      <c r="G105" s="28"/>
      <c r="H105" s="28"/>
      <c r="I105" s="28"/>
      <c r="J105" s="28"/>
      <c r="K105" s="28"/>
      <c r="L105" s="28"/>
      <c r="M105" s="28"/>
    </row>
    <row r="106" spans="2:34" s="7" customFormat="1" x14ac:dyDescent="0.2">
      <c r="B106" s="28"/>
      <c r="C106" s="28"/>
      <c r="D106" s="28"/>
      <c r="E106" s="28"/>
      <c r="F106" s="28"/>
      <c r="G106" s="28"/>
      <c r="H106" s="28"/>
      <c r="I106" s="28"/>
      <c r="J106" s="28"/>
      <c r="K106" s="28"/>
      <c r="L106" s="28"/>
      <c r="M106" s="28"/>
    </row>
    <row r="107" spans="2:34" s="7" customFormat="1" x14ac:dyDescent="0.2">
      <c r="B107" s="28"/>
      <c r="C107" s="28"/>
      <c r="D107" s="28"/>
      <c r="E107" s="28"/>
      <c r="F107" s="28"/>
      <c r="G107" s="28"/>
      <c r="H107" s="28"/>
      <c r="I107" s="28"/>
      <c r="J107" s="28"/>
      <c r="K107" s="28"/>
      <c r="L107" s="28"/>
      <c r="M107" s="28"/>
    </row>
    <row r="108" spans="2:34" s="7" customFormat="1" x14ac:dyDescent="0.2">
      <c r="C108" s="28"/>
      <c r="D108" s="28"/>
      <c r="E108" s="28"/>
      <c r="F108" s="28"/>
      <c r="G108" s="28"/>
      <c r="H108" s="28"/>
      <c r="I108" s="28"/>
      <c r="J108" s="28"/>
      <c r="K108" s="28"/>
      <c r="L108" s="28"/>
      <c r="M108" s="28"/>
    </row>
    <row r="109" spans="2:34" x14ac:dyDescent="0.2">
      <c r="B109" s="28"/>
      <c r="C109" s="28"/>
      <c r="D109" s="28"/>
      <c r="E109" s="28"/>
      <c r="F109" s="28"/>
      <c r="G109" s="28"/>
      <c r="H109" s="28"/>
      <c r="I109" s="28"/>
      <c r="J109" s="28"/>
      <c r="K109" s="28"/>
      <c r="L109" s="28"/>
      <c r="M109" s="28"/>
      <c r="AH109" s="7"/>
    </row>
    <row r="110" spans="2:34" x14ac:dyDescent="0.2">
      <c r="B110" s="28"/>
      <c r="C110" s="28"/>
      <c r="D110" s="28"/>
      <c r="E110" s="28"/>
      <c r="F110" s="28"/>
      <c r="G110" s="28"/>
      <c r="H110" s="28"/>
      <c r="I110" s="28"/>
      <c r="J110" s="28"/>
      <c r="K110" s="28"/>
      <c r="L110" s="28"/>
      <c r="M110" s="28"/>
    </row>
    <row r="111" spans="2:34" x14ac:dyDescent="0.2">
      <c r="B111" s="2" t="s">
        <v>79</v>
      </c>
      <c r="C111" s="28"/>
      <c r="D111" s="28"/>
      <c r="E111" s="28"/>
      <c r="F111" s="28"/>
      <c r="G111" s="28"/>
      <c r="H111" s="28"/>
      <c r="I111" s="28"/>
      <c r="J111" s="28"/>
      <c r="K111" s="28"/>
      <c r="L111" s="28"/>
      <c r="M111" s="28"/>
    </row>
    <row r="112" spans="2:34" x14ac:dyDescent="0.2">
      <c r="B112" s="28"/>
      <c r="C112" s="28"/>
      <c r="D112" s="28"/>
      <c r="E112" s="28"/>
      <c r="F112" s="28"/>
      <c r="G112" s="28"/>
      <c r="H112" s="28"/>
      <c r="I112" s="28"/>
      <c r="J112" s="28"/>
      <c r="K112" s="28"/>
      <c r="L112" s="28"/>
      <c r="M112" s="28"/>
    </row>
    <row r="113" spans="2:13" x14ac:dyDescent="0.2">
      <c r="B113" s="28"/>
      <c r="C113" s="28"/>
      <c r="D113" s="28"/>
      <c r="E113" s="28"/>
      <c r="F113" s="28"/>
      <c r="G113" s="28"/>
      <c r="H113" s="28"/>
      <c r="I113" s="28"/>
      <c r="J113" s="28"/>
      <c r="K113" s="28"/>
      <c r="L113" s="28"/>
      <c r="M113" s="28"/>
    </row>
    <row r="114" spans="2:13" x14ac:dyDescent="0.2">
      <c r="B114" s="28"/>
      <c r="C114" s="28"/>
      <c r="D114" s="28"/>
      <c r="E114" s="28"/>
      <c r="F114" s="28"/>
      <c r="G114" s="28"/>
      <c r="H114" s="28"/>
      <c r="I114" s="28"/>
      <c r="J114" s="28"/>
      <c r="K114" s="28"/>
      <c r="L114" s="28"/>
      <c r="M114" s="28"/>
    </row>
    <row r="115" spans="2:13" x14ac:dyDescent="0.2">
      <c r="B115" s="28"/>
      <c r="C115" s="28"/>
      <c r="D115" s="28"/>
      <c r="E115" s="28"/>
      <c r="F115" s="28"/>
      <c r="G115" s="28"/>
      <c r="H115" s="28"/>
      <c r="I115" s="28"/>
      <c r="J115" s="28"/>
      <c r="K115" s="28"/>
      <c r="L115" s="28"/>
      <c r="M115" s="28"/>
    </row>
    <row r="116" spans="2:13" x14ac:dyDescent="0.2">
      <c r="B116" s="2"/>
      <c r="C116" s="28"/>
      <c r="D116" s="28"/>
      <c r="E116" s="28"/>
      <c r="F116" s="28"/>
      <c r="G116" s="28"/>
      <c r="H116" s="28"/>
      <c r="I116" s="28"/>
      <c r="J116" s="28"/>
      <c r="K116" s="28"/>
      <c r="L116" s="28"/>
      <c r="M116" s="28"/>
    </row>
    <row r="117" spans="2:13" x14ac:dyDescent="0.2">
      <c r="B117" s="28"/>
      <c r="C117" s="28"/>
      <c r="D117" s="28"/>
      <c r="E117" s="28"/>
      <c r="F117" s="28"/>
      <c r="G117" s="28"/>
      <c r="H117" s="28"/>
      <c r="I117" s="28"/>
      <c r="J117" s="28"/>
      <c r="K117" s="28"/>
      <c r="L117" s="28"/>
      <c r="M117" s="28"/>
    </row>
    <row r="118" spans="2:13" x14ac:dyDescent="0.2">
      <c r="B118" s="28"/>
      <c r="C118" s="28"/>
      <c r="D118" s="28"/>
      <c r="E118" s="28"/>
      <c r="F118" s="28"/>
      <c r="G118" s="28"/>
      <c r="H118" s="28"/>
      <c r="I118" s="28"/>
      <c r="J118" s="28"/>
      <c r="K118" s="28"/>
      <c r="L118" s="28"/>
      <c r="M118" s="28"/>
    </row>
    <row r="119" spans="2:13" x14ac:dyDescent="0.2">
      <c r="B119" s="28"/>
      <c r="C119" s="28"/>
      <c r="D119" s="28"/>
      <c r="E119" s="28"/>
      <c r="F119" s="28"/>
      <c r="G119" s="28"/>
      <c r="H119" s="28"/>
      <c r="I119" s="28"/>
      <c r="J119" s="28"/>
      <c r="K119" s="28"/>
      <c r="L119" s="28"/>
      <c r="M119" s="28"/>
    </row>
    <row r="120" spans="2:13" x14ac:dyDescent="0.2">
      <c r="B120" s="28"/>
      <c r="C120" s="28"/>
      <c r="D120" s="28"/>
      <c r="E120" s="28"/>
      <c r="F120" s="28"/>
      <c r="G120" s="28"/>
      <c r="H120" s="28"/>
      <c r="I120" s="28"/>
      <c r="J120" s="28"/>
      <c r="K120" s="28"/>
      <c r="L120" s="28"/>
      <c r="M120" s="28"/>
    </row>
    <row r="121" spans="2:13" x14ac:dyDescent="0.2">
      <c r="B121" s="28"/>
      <c r="C121" s="28"/>
      <c r="D121" s="28"/>
      <c r="E121" s="28"/>
      <c r="F121" s="28"/>
      <c r="G121" s="28"/>
      <c r="H121" s="28"/>
      <c r="I121" s="28"/>
      <c r="J121" s="28"/>
      <c r="K121" s="28"/>
      <c r="L121" s="28"/>
      <c r="M121" s="28"/>
    </row>
    <row r="122" spans="2:13" x14ac:dyDescent="0.2">
      <c r="B122" s="28"/>
      <c r="C122" s="28"/>
      <c r="D122" s="28"/>
      <c r="E122" s="28"/>
      <c r="F122" s="28"/>
      <c r="G122" s="28"/>
      <c r="H122" s="28"/>
      <c r="I122" s="28"/>
      <c r="J122" s="28"/>
      <c r="K122" s="28"/>
      <c r="L122" s="28"/>
      <c r="M122" s="28"/>
    </row>
    <row r="123" spans="2:13" x14ac:dyDescent="0.2">
      <c r="B123" s="28"/>
      <c r="C123" s="28"/>
      <c r="D123" s="28"/>
      <c r="E123" s="28"/>
      <c r="F123" s="28"/>
      <c r="G123" s="28"/>
      <c r="H123" s="28"/>
      <c r="I123" s="28"/>
      <c r="J123" s="28"/>
      <c r="K123" s="28"/>
      <c r="L123" s="28"/>
      <c r="M123" s="28"/>
    </row>
    <row r="124" spans="2:13" x14ac:dyDescent="0.2">
      <c r="B124" s="28"/>
      <c r="C124" s="28"/>
      <c r="D124" s="28"/>
      <c r="E124" s="28"/>
      <c r="F124" s="28"/>
      <c r="G124" s="28"/>
      <c r="H124" s="28"/>
      <c r="I124" s="28"/>
      <c r="J124" s="28"/>
      <c r="K124" s="28"/>
      <c r="L124" s="28"/>
      <c r="M124" s="28"/>
    </row>
    <row r="125" spans="2:13" x14ac:dyDescent="0.2">
      <c r="B125" s="28"/>
      <c r="C125" s="28"/>
      <c r="D125" s="28"/>
      <c r="E125" s="28"/>
      <c r="F125" s="28"/>
      <c r="G125" s="28"/>
      <c r="H125" s="28"/>
      <c r="I125" s="28"/>
      <c r="J125" s="28"/>
      <c r="K125" s="28"/>
      <c r="L125" s="28"/>
      <c r="M125" s="28"/>
    </row>
    <row r="126" spans="2:13" x14ac:dyDescent="0.2">
      <c r="B126" s="28"/>
      <c r="C126" s="28"/>
      <c r="D126" s="28"/>
      <c r="E126" s="28"/>
      <c r="F126" s="28"/>
      <c r="G126" s="28"/>
      <c r="H126" s="28"/>
      <c r="I126" s="28"/>
      <c r="J126" s="28"/>
      <c r="K126" s="28"/>
      <c r="L126" s="28"/>
      <c r="M126" s="28"/>
    </row>
    <row r="127" spans="2:13" x14ac:dyDescent="0.2">
      <c r="B127" s="28"/>
      <c r="C127" s="28"/>
      <c r="D127" s="28"/>
      <c r="E127" s="28"/>
      <c r="F127" s="28"/>
      <c r="G127" s="28"/>
      <c r="H127" s="28"/>
      <c r="I127" s="28"/>
      <c r="J127" s="28"/>
      <c r="K127" s="28"/>
      <c r="L127" s="28"/>
      <c r="M127" s="28"/>
    </row>
    <row r="128" spans="2:13" x14ac:dyDescent="0.2">
      <c r="B128" s="28"/>
      <c r="C128" s="28"/>
      <c r="D128" s="28"/>
      <c r="E128" s="28"/>
      <c r="F128" s="28"/>
      <c r="G128" s="28"/>
      <c r="H128" s="28"/>
      <c r="I128" s="28"/>
      <c r="J128" s="28"/>
      <c r="K128" s="28"/>
      <c r="L128" s="28"/>
      <c r="M128" s="28"/>
    </row>
    <row r="129" spans="2:13" x14ac:dyDescent="0.2">
      <c r="B129" s="28"/>
      <c r="C129" s="28"/>
      <c r="D129" s="28"/>
      <c r="E129" s="28"/>
      <c r="F129" s="28"/>
      <c r="G129" s="28"/>
      <c r="H129" s="28"/>
      <c r="I129" s="28"/>
      <c r="J129" s="28"/>
      <c r="K129" s="28"/>
      <c r="L129" s="28"/>
      <c r="M129" s="28"/>
    </row>
    <row r="130" spans="2:13" x14ac:dyDescent="0.2">
      <c r="B130" s="28"/>
      <c r="C130" s="28"/>
      <c r="D130" s="28"/>
      <c r="E130" s="28"/>
      <c r="F130" s="28"/>
      <c r="G130" s="28"/>
      <c r="H130" s="28"/>
      <c r="I130" s="28"/>
      <c r="J130" s="28"/>
      <c r="K130" s="28"/>
      <c r="L130" s="28"/>
      <c r="M130" s="28"/>
    </row>
    <row r="131" spans="2:13" x14ac:dyDescent="0.2">
      <c r="B131" s="28"/>
      <c r="C131" s="28"/>
      <c r="D131" s="28"/>
      <c r="E131" s="28"/>
      <c r="F131" s="28"/>
      <c r="G131" s="28"/>
      <c r="H131" s="28"/>
      <c r="I131" s="28"/>
      <c r="J131" s="28"/>
      <c r="K131" s="28"/>
      <c r="L131" s="28"/>
      <c r="M131" s="28"/>
    </row>
    <row r="132" spans="2:13" x14ac:dyDescent="0.2">
      <c r="B132" s="28"/>
      <c r="C132" s="28"/>
      <c r="D132" s="28"/>
      <c r="E132" s="28"/>
      <c r="F132" s="28"/>
      <c r="G132" s="28"/>
      <c r="H132" s="28"/>
      <c r="I132" s="28"/>
      <c r="J132" s="28"/>
      <c r="K132" s="28"/>
      <c r="L132" s="28"/>
      <c r="M132" s="28"/>
    </row>
    <row r="133" spans="2:13" x14ac:dyDescent="0.2">
      <c r="B133" s="28"/>
      <c r="C133" s="28"/>
      <c r="D133" s="28"/>
      <c r="E133" s="28"/>
      <c r="F133" s="28"/>
      <c r="G133" s="28"/>
      <c r="H133" s="28"/>
      <c r="I133" s="28"/>
      <c r="J133" s="28"/>
      <c r="K133" s="28"/>
      <c r="L133" s="28"/>
      <c r="M133" s="28"/>
    </row>
    <row r="134" spans="2:13" x14ac:dyDescent="0.2">
      <c r="B134" s="28"/>
      <c r="C134" s="28"/>
      <c r="D134" s="28"/>
      <c r="E134" s="28"/>
      <c r="F134" s="28"/>
      <c r="G134" s="28"/>
      <c r="H134" s="28"/>
      <c r="I134" s="28"/>
      <c r="J134" s="28"/>
      <c r="K134" s="28"/>
      <c r="L134" s="28"/>
      <c r="M134" s="28"/>
    </row>
    <row r="135" spans="2:13" x14ac:dyDescent="0.2">
      <c r="B135" s="28"/>
      <c r="C135" s="28"/>
      <c r="D135" s="28"/>
      <c r="E135" s="28"/>
      <c r="F135" s="28"/>
      <c r="G135" s="28"/>
      <c r="H135" s="28"/>
      <c r="I135" s="28"/>
      <c r="J135" s="28"/>
      <c r="K135" s="28"/>
      <c r="L135" s="28"/>
      <c r="M135" s="28"/>
    </row>
    <row r="136" spans="2:13" x14ac:dyDescent="0.2">
      <c r="B136" s="28"/>
      <c r="C136" s="28"/>
      <c r="D136" s="28"/>
      <c r="E136" s="28"/>
      <c r="F136" s="28"/>
      <c r="G136" s="28"/>
      <c r="H136" s="28"/>
      <c r="I136" s="28"/>
      <c r="J136" s="28"/>
      <c r="K136" s="28"/>
      <c r="L136" s="28"/>
      <c r="M136" s="28"/>
    </row>
    <row r="137" spans="2:13" x14ac:dyDescent="0.2">
      <c r="B137" s="28"/>
      <c r="C137" s="28"/>
      <c r="D137" s="28"/>
      <c r="E137" s="28"/>
      <c r="F137" s="28"/>
      <c r="G137" s="28"/>
      <c r="H137" s="28"/>
      <c r="I137" s="28"/>
      <c r="J137" s="28"/>
      <c r="K137" s="28"/>
      <c r="L137" s="28"/>
      <c r="M137" s="28"/>
    </row>
  </sheetData>
  <mergeCells count="16">
    <mergeCell ref="I14:M14"/>
    <mergeCell ref="F66:H66"/>
    <mergeCell ref="F67:H67"/>
    <mergeCell ref="F99:H99"/>
    <mergeCell ref="F100:H100"/>
    <mergeCell ref="F36:H36"/>
    <mergeCell ref="F37:H37"/>
    <mergeCell ref="B39:G39"/>
    <mergeCell ref="C43:D43"/>
    <mergeCell ref="I2:N2"/>
    <mergeCell ref="G10:N10"/>
    <mergeCell ref="C3:E3"/>
    <mergeCell ref="C4:E4"/>
    <mergeCell ref="C5:E5"/>
    <mergeCell ref="C6:E6"/>
    <mergeCell ref="C7:E7"/>
  </mergeCells>
  <hyperlinks>
    <hyperlink ref="C7" r:id="rId1"/>
  </hyperlinks>
  <pageMargins left="0.7" right="0.7" top="0.75" bottom="0.75" header="0.3" footer="0.3"/>
  <pageSetup scale="71" fitToHeight="0" orientation="landscape" r:id="rId2"/>
  <rowBreaks count="3" manualBreakCount="3">
    <brk id="34" max="12" man="1"/>
    <brk id="64" max="12" man="1"/>
    <brk id="98" max="12" man="1"/>
  </rowBreaks>
  <drawing r:id="rId3"/>
  <legacyDrawing r:id="rId4"/>
  <oleObjects>
    <mc:AlternateContent xmlns:mc="http://schemas.openxmlformats.org/markup-compatibility/2006">
      <mc:Choice Requires="x14">
        <oleObject progId="Packager Shell Object" dvAspect="DVASPECT_ICON" shapeId="5453" r:id="rId5">
          <objectPr defaultSize="0" autoPict="0" r:id="rId6">
            <anchor moveWithCells="1">
              <from>
                <xdr:col>12</xdr:col>
                <xdr:colOff>57150</xdr:colOff>
                <xdr:row>104</xdr:row>
                <xdr:rowOff>66675</xdr:rowOff>
              </from>
              <to>
                <xdr:col>13</xdr:col>
                <xdr:colOff>161925</xdr:colOff>
                <xdr:row>107</xdr:row>
                <xdr:rowOff>66675</xdr:rowOff>
              </to>
            </anchor>
          </objectPr>
        </oleObject>
      </mc:Choice>
      <mc:Fallback>
        <oleObject progId="Packager Shell Object" dvAspect="DVASPECT_ICON" shapeId="5453" r:id="rId5"/>
      </mc:Fallback>
    </mc:AlternateContent>
  </oleObjects>
  <mc:AlternateContent xmlns:mc="http://schemas.openxmlformats.org/markup-compatibility/2006">
    <mc:Choice Requires="x14">
      <controls>
        <mc:AlternateContent xmlns:mc="http://schemas.openxmlformats.org/markup-compatibility/2006">
          <mc:Choice Requires="x14">
            <control shapeId="5448" r:id="rId7" name="Check Box 328">
              <controlPr defaultSize="0" autoFill="0" autoLine="0" autoPict="0">
                <anchor moveWithCells="1" sizeWithCells="1">
                  <from>
                    <xdr:col>2</xdr:col>
                    <xdr:colOff>19050</xdr:colOff>
                    <xdr:row>8</xdr:row>
                    <xdr:rowOff>9525</xdr:rowOff>
                  </from>
                  <to>
                    <xdr:col>4</xdr:col>
                    <xdr:colOff>571500</xdr:colOff>
                    <xdr:row>9</xdr:row>
                    <xdr:rowOff>19050</xdr:rowOff>
                  </to>
                </anchor>
              </controlPr>
            </control>
          </mc:Choice>
        </mc:AlternateContent>
        <mc:AlternateContent xmlns:mc="http://schemas.openxmlformats.org/markup-compatibility/2006">
          <mc:Choice Requires="x14">
            <control shapeId="5449" r:id="rId8" name="Check Box 329">
              <controlPr defaultSize="0" autoFill="0" autoLine="0" autoPict="0">
                <anchor moveWithCells="1" sizeWithCells="1">
                  <from>
                    <xdr:col>2</xdr:col>
                    <xdr:colOff>19050</xdr:colOff>
                    <xdr:row>9</xdr:row>
                    <xdr:rowOff>28575</xdr:rowOff>
                  </from>
                  <to>
                    <xdr:col>5</xdr:col>
                    <xdr:colOff>0</xdr:colOff>
                    <xdr:row>10</xdr:row>
                    <xdr:rowOff>28575</xdr:rowOff>
                  </to>
                </anchor>
              </controlPr>
            </control>
          </mc:Choice>
        </mc:AlternateContent>
        <mc:AlternateContent xmlns:mc="http://schemas.openxmlformats.org/markup-compatibility/2006">
          <mc:Choice Requires="x14">
            <control shapeId="5450" r:id="rId9" name="Check Box 330">
              <controlPr defaultSize="0" autoFill="0" autoLine="0" autoPict="0">
                <anchor moveWithCells="1" sizeWithCells="1">
                  <from>
                    <xdr:col>2</xdr:col>
                    <xdr:colOff>19050</xdr:colOff>
                    <xdr:row>10</xdr:row>
                    <xdr:rowOff>66675</xdr:rowOff>
                  </from>
                  <to>
                    <xdr:col>5</xdr:col>
                    <xdr:colOff>114300</xdr:colOff>
                    <xdr:row>11</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2"/>
  <sheetViews>
    <sheetView workbookViewId="0">
      <selection activeCell="B8" sqref="B8"/>
    </sheetView>
  </sheetViews>
  <sheetFormatPr defaultRowHeight="15" x14ac:dyDescent="0.25"/>
  <cols>
    <col min="1" max="1" width="36.140625" bestFit="1" customWidth="1"/>
  </cols>
  <sheetData>
    <row r="1" spans="1:84" x14ac:dyDescent="0.25">
      <c r="B1" t="s">
        <v>88</v>
      </c>
      <c r="C1" t="s">
        <v>89</v>
      </c>
      <c r="D1" t="s">
        <v>90</v>
      </c>
      <c r="E1" t="s">
        <v>91</v>
      </c>
      <c r="F1" t="s">
        <v>92</v>
      </c>
      <c r="G1" t="s">
        <v>93</v>
      </c>
      <c r="H1" t="s">
        <v>94</v>
      </c>
      <c r="I1" t="s">
        <v>95</v>
      </c>
      <c r="J1" t="s">
        <v>96</v>
      </c>
      <c r="K1" t="s">
        <v>97</v>
      </c>
      <c r="L1" t="s">
        <v>98</v>
      </c>
      <c r="M1" t="s">
        <v>99</v>
      </c>
      <c r="N1" t="s">
        <v>100</v>
      </c>
      <c r="O1" t="s">
        <v>101</v>
      </c>
      <c r="P1" t="s">
        <v>102</v>
      </c>
      <c r="Q1" t="s">
        <v>103</v>
      </c>
      <c r="R1" t="s">
        <v>104</v>
      </c>
      <c r="S1" t="s">
        <v>105</v>
      </c>
      <c r="T1" t="s">
        <v>106</v>
      </c>
      <c r="U1" t="s">
        <v>107</v>
      </c>
      <c r="V1" t="s">
        <v>108</v>
      </c>
      <c r="W1" t="s">
        <v>109</v>
      </c>
      <c r="X1" t="s">
        <v>110</v>
      </c>
      <c r="Y1" t="s">
        <v>111</v>
      </c>
      <c r="Z1" t="s">
        <v>112</v>
      </c>
      <c r="AA1" t="s">
        <v>113</v>
      </c>
      <c r="AB1" t="s">
        <v>114</v>
      </c>
      <c r="AC1" t="s">
        <v>115</v>
      </c>
      <c r="AD1" t="s">
        <v>116</v>
      </c>
      <c r="AE1" t="s">
        <v>117</v>
      </c>
      <c r="AF1" t="s">
        <v>118</v>
      </c>
      <c r="AG1" t="s">
        <v>119</v>
      </c>
      <c r="AH1" t="s">
        <v>120</v>
      </c>
      <c r="AI1" t="s">
        <v>121</v>
      </c>
      <c r="AJ1" t="s">
        <v>122</v>
      </c>
      <c r="AK1" t="s">
        <v>123</v>
      </c>
      <c r="AL1" t="s">
        <v>124</v>
      </c>
      <c r="AM1" t="s">
        <v>125</v>
      </c>
      <c r="AN1" t="s">
        <v>126</v>
      </c>
      <c r="AO1" t="s">
        <v>127</v>
      </c>
      <c r="AP1" t="s">
        <v>128</v>
      </c>
      <c r="AQ1" t="s">
        <v>129</v>
      </c>
      <c r="AR1" t="s">
        <v>130</v>
      </c>
      <c r="AS1" t="s">
        <v>131</v>
      </c>
      <c r="AT1" t="s">
        <v>132</v>
      </c>
      <c r="AU1" t="s">
        <v>133</v>
      </c>
      <c r="AV1" t="s">
        <v>134</v>
      </c>
      <c r="AW1" t="s">
        <v>141</v>
      </c>
      <c r="AX1" t="s">
        <v>142</v>
      </c>
      <c r="AY1" t="s">
        <v>135</v>
      </c>
      <c r="AZ1" t="s">
        <v>143</v>
      </c>
      <c r="BA1" t="s">
        <v>144</v>
      </c>
      <c r="BB1" t="s">
        <v>136</v>
      </c>
      <c r="BC1" t="s">
        <v>137</v>
      </c>
      <c r="BD1" t="s">
        <v>138</v>
      </c>
      <c r="BE1" t="s">
        <v>145</v>
      </c>
      <c r="BF1" t="s">
        <v>146</v>
      </c>
      <c r="BG1" t="s">
        <v>147</v>
      </c>
      <c r="BH1" t="s">
        <v>148</v>
      </c>
      <c r="BI1" t="s">
        <v>149</v>
      </c>
      <c r="BJ1" t="s">
        <v>150</v>
      </c>
      <c r="BK1" t="s">
        <v>151</v>
      </c>
      <c r="BL1" t="s">
        <v>152</v>
      </c>
      <c r="BM1" t="s">
        <v>153</v>
      </c>
      <c r="BN1" t="s">
        <v>154</v>
      </c>
      <c r="BO1" t="s">
        <v>170</v>
      </c>
      <c r="BP1" t="s">
        <v>171</v>
      </c>
      <c r="BQ1" t="s">
        <v>155</v>
      </c>
      <c r="BR1" t="s">
        <v>156</v>
      </c>
      <c r="BS1" t="s">
        <v>157</v>
      </c>
      <c r="BT1" t="s">
        <v>158</v>
      </c>
      <c r="BU1" t="s">
        <v>159</v>
      </c>
      <c r="BV1" t="s">
        <v>160</v>
      </c>
      <c r="BW1" t="s">
        <v>161</v>
      </c>
      <c r="BX1" t="s">
        <v>162</v>
      </c>
      <c r="BY1" t="s">
        <v>163</v>
      </c>
      <c r="BZ1" t="s">
        <v>164</v>
      </c>
      <c r="CA1" t="s">
        <v>165</v>
      </c>
      <c r="CB1" t="s">
        <v>166</v>
      </c>
      <c r="CC1" t="s">
        <v>172</v>
      </c>
      <c r="CD1" t="s">
        <v>139</v>
      </c>
      <c r="CE1" t="s">
        <v>174</v>
      </c>
      <c r="CF1" t="s">
        <v>140</v>
      </c>
    </row>
    <row r="2" spans="1:84" x14ac:dyDescent="0.25">
      <c r="A2" t="str">
        <f>REN_Utility_Name</f>
        <v>Snohomish PUD</v>
      </c>
      <c r="B2">
        <f>REN_Total_2014</f>
        <v>754394</v>
      </c>
      <c r="C2" t="e">
        <f>CON_2012_Agriculture_MWH</f>
        <v>#REF!</v>
      </c>
      <c r="D2" t="e">
        <f>CON_2012_Commercial_Expend</f>
        <v>#REF!</v>
      </c>
      <c r="E2" t="e">
        <f>CON_2012_Commercial_MWH</f>
        <v>#REF!</v>
      </c>
      <c r="F2" t="e">
        <f>CON_2012_Distribution_Expend</f>
        <v>#REF!</v>
      </c>
      <c r="G2" t="e">
        <f>CON_2012_Distribution_MWH</f>
        <v>#REF!</v>
      </c>
      <c r="H2" t="e">
        <f>CON_2012_Expenditures</f>
        <v>#REF!</v>
      </c>
      <c r="I2" t="e">
        <f>CON_2012_Industrial_Expend</f>
        <v>#REF!</v>
      </c>
      <c r="J2" t="e">
        <f>CON_2012_Industrial_MWH</f>
        <v>#REF!</v>
      </c>
      <c r="K2" t="e">
        <f>CON_2012_MWH</f>
        <v>#REF!</v>
      </c>
      <c r="L2" t="e">
        <f>CON_2012_NEEA_Expend</f>
        <v>#REF!</v>
      </c>
      <c r="M2" t="e">
        <f>CON_2012_NEEA_MWH</f>
        <v>#REF!</v>
      </c>
      <c r="N2" t="e">
        <f>CON_2012_OtherSector1_Expend</f>
        <v>#REF!</v>
      </c>
      <c r="O2" t="e">
        <f>CON_2012_OtherSector1_MWH</f>
        <v>#REF!</v>
      </c>
      <c r="P2" t="e">
        <f>CON_2012_OtherSector2_Expend</f>
        <v>#REF!</v>
      </c>
      <c r="Q2" t="e">
        <f>CON_2012_OtherSector2_MWH</f>
        <v>#REF!</v>
      </c>
      <c r="R2" t="e">
        <f>CON_2012_Production_Expend</f>
        <v>#REF!</v>
      </c>
      <c r="S2" t="e">
        <f>CON_2012_Production_MWH</f>
        <v>#REF!</v>
      </c>
      <c r="T2" t="e">
        <f>CON_2012_Program1_Expend</f>
        <v>#REF!</v>
      </c>
      <c r="U2" t="e">
        <f>CON_2012_Program2_Expend</f>
        <v>#REF!</v>
      </c>
      <c r="V2" t="e">
        <f>CON_2012_Residential_Expend</f>
        <v>#REF!</v>
      </c>
      <c r="W2" t="e">
        <f>CON_2012_Residential_MWH</f>
        <v>#REF!</v>
      </c>
      <c r="X2" t="e">
        <f>CON_2013_Agriculture_Expend</f>
        <v>#REF!</v>
      </c>
      <c r="Y2" t="e">
        <f>CON_2013_Agriculture_MWH</f>
        <v>#REF!</v>
      </c>
      <c r="Z2" t="e">
        <f>CON_2013_Commercial_Expend</f>
        <v>#REF!</v>
      </c>
      <c r="AA2" t="e">
        <f>CON_2013_Commercial_MWH</f>
        <v>#REF!</v>
      </c>
      <c r="AB2" t="e">
        <f>CON_2013_Distribution_Expend</f>
        <v>#REF!</v>
      </c>
      <c r="AC2" t="e">
        <f>CON_2013_Distribution_MWH</f>
        <v>#REF!</v>
      </c>
      <c r="AD2" t="e">
        <f>CON_2013_Expenditures</f>
        <v>#REF!</v>
      </c>
      <c r="AE2" t="e">
        <f>CON_2013_Industrial_Expend</f>
        <v>#REF!</v>
      </c>
      <c r="AF2" t="e">
        <f>CON_2013_Industrial_MWH</f>
        <v>#REF!</v>
      </c>
      <c r="AG2" t="e">
        <f>CON_2013_MWH</f>
        <v>#REF!</v>
      </c>
      <c r="AH2" t="e">
        <f>CON_2013_NEEA_Expend</f>
        <v>#REF!</v>
      </c>
      <c r="AI2" t="e">
        <f>CON_2013_NEEA_MWH</f>
        <v>#REF!</v>
      </c>
      <c r="AJ2" t="e">
        <f>CON_2013_OtherSector1_Expend</f>
        <v>#REF!</v>
      </c>
      <c r="AK2" t="e">
        <f>CON_2013_OtherSector1_MWH</f>
        <v>#REF!</v>
      </c>
      <c r="AL2" t="e">
        <f>CON_2013_OtherSector2_Expend</f>
        <v>#REF!</v>
      </c>
      <c r="AM2" t="e">
        <f>CON_2013_OtherSector2_MWH</f>
        <v>#REF!</v>
      </c>
      <c r="AN2" t="e">
        <f>CON_2013_Production_Expend</f>
        <v>#REF!</v>
      </c>
      <c r="AO2" t="e">
        <f>CON_2013_Production_MWH</f>
        <v>#REF!</v>
      </c>
      <c r="AP2" t="e">
        <f>CON_2013_Program1_Expend</f>
        <v>#REF!</v>
      </c>
      <c r="AQ2" t="e">
        <f>CON_2013_Program2_Expend</f>
        <v>#REF!</v>
      </c>
      <c r="AR2" t="e">
        <f>CON_2013_Residential_Expend</f>
        <v>#REF!</v>
      </c>
      <c r="AS2" t="e">
        <f>CON_2013_Residential_MWH</f>
        <v>#REF!</v>
      </c>
      <c r="AT2" t="e">
        <f>CON_Contact_Name</f>
        <v>#REF!</v>
      </c>
      <c r="AU2" t="e">
        <f>CON_Email</f>
        <v>#REF!</v>
      </c>
      <c r="AV2" t="e">
        <f>CON_Phone</f>
        <v>#REF!</v>
      </c>
      <c r="AW2" t="e">
        <f>CON_Potential_2012_2021</f>
        <v>#REF!</v>
      </c>
      <c r="AX2" t="e">
        <f>CON_Potential_2014_2023</f>
        <v>#REF!</v>
      </c>
      <c r="AY2" t="e">
        <f>CON_Report_Date</f>
        <v>#REF!</v>
      </c>
      <c r="AZ2" t="e">
        <f>CON_Target_2012_2013</f>
        <v>#REF!</v>
      </c>
      <c r="BA2" t="e">
        <f>CON_Target_2014_2015</f>
        <v>#REF!</v>
      </c>
      <c r="BB2" t="e">
        <f>CON_Utility_Name</f>
        <v>#REF!</v>
      </c>
      <c r="BC2" t="str">
        <f>REN_Contact_Name</f>
        <v>Anna Berg</v>
      </c>
      <c r="BD2" t="str">
        <f>REN_Email</f>
        <v>AJBerg@snopud.com</v>
      </c>
      <c r="BE2">
        <f>REN_ERR_ApprenticeLabor</f>
        <v>0</v>
      </c>
      <c r="BF2">
        <f>REN_ERR_Biodiesel</f>
        <v>0</v>
      </c>
      <c r="BG2">
        <f>REN_ERR_Biomass</f>
        <v>20609</v>
      </c>
      <c r="BH2">
        <f>REN_ERR_Geothermal</f>
        <v>0</v>
      </c>
      <c r="BI2">
        <f>REN_ERR_LandfillGas</f>
        <v>0</v>
      </c>
      <c r="BJ2">
        <f>REN_ERR_SewageGas</f>
        <v>0</v>
      </c>
      <c r="BK2">
        <f>REN_ERR_Solar</f>
        <v>0</v>
      </c>
      <c r="BL2">
        <f>REN_ERR_Water</f>
        <v>1205</v>
      </c>
      <c r="BM2">
        <f>REN_ERR_Wind</f>
        <v>482146</v>
      </c>
      <c r="BN2">
        <f>REN_ERR_WOT</f>
        <v>0</v>
      </c>
      <c r="BO2">
        <f>REN_Expenditure_Amount_2014</f>
        <v>33338617.599170536</v>
      </c>
      <c r="BP2">
        <f>REN_Expenditure_Percent_2014</f>
        <v>6.0034534072308306E-2</v>
      </c>
      <c r="BQ2">
        <f>REN_Load_2012</f>
        <v>6535584</v>
      </c>
      <c r="BR2">
        <f>REN_Load_2013</f>
        <v>6544708</v>
      </c>
      <c r="BS2">
        <f>REN_REC_ApprenticeLabor</f>
        <v>0</v>
      </c>
      <c r="BT2">
        <f>REN_REC_Biodiesel</f>
        <v>0</v>
      </c>
      <c r="BU2">
        <f>REN_REC_Biomass</f>
        <v>0</v>
      </c>
      <c r="BV2">
        <f>REN_REC_DistributedGeneration</f>
        <v>22368</v>
      </c>
      <c r="BW2">
        <f>REN_REC_Geothermal</f>
        <v>0</v>
      </c>
      <c r="BX2">
        <f>REN_REC_LandfillGas</f>
        <v>0</v>
      </c>
      <c r="BY2">
        <f>REN_REC_SewageGas</f>
        <v>0</v>
      </c>
      <c r="BZ2">
        <f>REN_REC_Solar</f>
        <v>1759</v>
      </c>
      <c r="CA2">
        <f>REN_REC_Wind</f>
        <v>226307</v>
      </c>
      <c r="CB2">
        <f>REN_REC_WOT</f>
        <v>0</v>
      </c>
      <c r="CC2">
        <f>REN_RetailRevenueRequirement_2014</f>
        <v>555324000</v>
      </c>
      <c r="CD2">
        <f>REN_Submittal_Date</f>
        <v>0</v>
      </c>
      <c r="CE2">
        <f>REN_Total_2014</f>
        <v>754394</v>
      </c>
      <c r="CF2" t="str">
        <f>REN_Utility_Name</f>
        <v>Snohomish PUD</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85</vt:i4>
      </vt:variant>
    </vt:vector>
  </HeadingPairs>
  <TitlesOfParts>
    <vt:vector size="90" baseType="lpstr">
      <vt:lpstr>Instructions - 2014</vt:lpstr>
      <vt:lpstr>Instructions - Revise 2012</vt:lpstr>
      <vt:lpstr>Conservation Report </vt:lpstr>
      <vt:lpstr>Renewables Report</vt:lpstr>
      <vt:lpstr>Data</vt:lpstr>
      <vt:lpstr>'Conservation Report '!CON_2012_Agriculture_Expend</vt:lpstr>
      <vt:lpstr>'Conservation Report '!CON_2012_Agriculture_MWH</vt:lpstr>
      <vt:lpstr>'Conservation Report '!CON_2012_Commercial_Expend</vt:lpstr>
      <vt:lpstr>'Conservation Report '!CON_2012_Commercial_MWH</vt:lpstr>
      <vt:lpstr>'Conservation Report '!CON_2012_Distribution_Expend</vt:lpstr>
      <vt:lpstr>'Conservation Report '!CON_2012_Distribution_MWH</vt:lpstr>
      <vt:lpstr>'Conservation Report '!CON_2012_Expenditures</vt:lpstr>
      <vt:lpstr>'Conservation Report '!CON_2012_Industrial_Expend</vt:lpstr>
      <vt:lpstr>'Conservation Report '!CON_2012_Industrial_MWH</vt:lpstr>
      <vt:lpstr>'Conservation Report '!CON_2012_MWH</vt:lpstr>
      <vt:lpstr>'Conservation Report '!CON_2012_NEEA_Expend</vt:lpstr>
      <vt:lpstr>'Conservation Report '!CON_2012_NEEA_MWH</vt:lpstr>
      <vt:lpstr>'Conservation Report '!CON_2012_OtherSector1_Expend</vt:lpstr>
      <vt:lpstr>'Conservation Report '!CON_2012_OtherSector1_MWH</vt:lpstr>
      <vt:lpstr>'Conservation Report '!CON_2012_OtherSector2_Expend</vt:lpstr>
      <vt:lpstr>'Conservation Report '!CON_2012_OtherSector2_MWH</vt:lpstr>
      <vt:lpstr>'Conservation Report '!CON_2012_Production_Expend</vt:lpstr>
      <vt:lpstr>'Conservation Report '!CON_2012_Production_MWH</vt:lpstr>
      <vt:lpstr>'Conservation Report '!CON_2012_Program1_Expend</vt:lpstr>
      <vt:lpstr>'Conservation Report '!CON_2012_Program2_Expend</vt:lpstr>
      <vt:lpstr>'Conservation Report '!CON_2012_Residential_Expend</vt:lpstr>
      <vt:lpstr>'Conservation Report '!CON_2012_Residential_MWH</vt:lpstr>
      <vt:lpstr>'Conservation Report '!CON_2013_Agriculture_Expend</vt:lpstr>
      <vt:lpstr>'Conservation Report '!CON_2013_Agriculture_MWH</vt:lpstr>
      <vt:lpstr>'Conservation Report '!CON_2013_Commercial_Expend</vt:lpstr>
      <vt:lpstr>'Conservation Report '!CON_2013_Commercial_MWH</vt:lpstr>
      <vt:lpstr>'Conservation Report '!CON_2013_Distribution_Expend</vt:lpstr>
      <vt:lpstr>'Conservation Report '!CON_2013_Distribution_MWH</vt:lpstr>
      <vt:lpstr>'Conservation Report '!CON_2013_Expenditures</vt:lpstr>
      <vt:lpstr>'Conservation Report '!CON_2013_Industrial_Expend</vt:lpstr>
      <vt:lpstr>'Conservation Report '!CON_2013_Industrial_MWH</vt:lpstr>
      <vt:lpstr>'Conservation Report '!CON_2013_MWH</vt:lpstr>
      <vt:lpstr>'Conservation Report '!CON_2013_NEEA_Expend</vt:lpstr>
      <vt:lpstr>'Conservation Report '!CON_2013_NEEA_MWH</vt:lpstr>
      <vt:lpstr>'Conservation Report '!CON_2013_OtherSector1_Expend</vt:lpstr>
      <vt:lpstr>'Conservation Report '!CON_2013_OtherSector1_MWH</vt:lpstr>
      <vt:lpstr>'Conservation Report '!CON_2013_OtherSector2_Expend</vt:lpstr>
      <vt:lpstr>'Conservation Report '!CON_2013_OtherSector2_MWH</vt:lpstr>
      <vt:lpstr>'Conservation Report '!CON_2013_Production_Expend</vt:lpstr>
      <vt:lpstr>'Conservation Report '!CON_2013_Production_MWH</vt:lpstr>
      <vt:lpstr>'Conservation Report '!CON_2013_Program1_Expend</vt:lpstr>
      <vt:lpstr>'Conservation Report '!CON_2013_Program2_Expend</vt:lpstr>
      <vt:lpstr>'Conservation Report '!CON_2013_Residential_Expend</vt:lpstr>
      <vt:lpstr>'Conservation Report '!CON_2013_Residential_MWH</vt:lpstr>
      <vt:lpstr>'Conservation Report '!CON_Contact_Name</vt:lpstr>
      <vt:lpstr>'Conservation Report '!CON_Email</vt:lpstr>
      <vt:lpstr>'Conservation Report '!CON_Phone</vt:lpstr>
      <vt:lpstr>'Conservation Report '!CON_Potential_2012_2021</vt:lpstr>
      <vt:lpstr>'Conservation Report '!CON_Potential_2014_2023</vt:lpstr>
      <vt:lpstr>'Conservation Report '!CON_Report_Date</vt:lpstr>
      <vt:lpstr>'Conservation Report '!CON_Target_2012_2013</vt:lpstr>
      <vt:lpstr>'Conservation Report '!CON_Target_2014_2015</vt:lpstr>
      <vt:lpstr>'Conservation Report '!CON_Utility_Name</vt:lpstr>
      <vt:lpstr>'Conservation Report '!Print_Area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REN_ERR_SewageGas</vt:lpstr>
      <vt:lpstr>REN_ERR_Solar</vt:lpstr>
      <vt:lpstr>REN_ERR_Water</vt:lpstr>
      <vt:lpstr>REN_ERR_Wind</vt:lpstr>
      <vt:lpstr>REN_ERR_WOT</vt:lpstr>
      <vt:lpstr>REN_Expenditure_Amount_2014</vt:lpstr>
      <vt:lpstr>REN_Expenditure_Percent_2014</vt:lpstr>
      <vt:lpstr>REN_Load_2012</vt:lpstr>
      <vt:lpstr>REN_Load_2013</vt:lpstr>
      <vt:lpstr>REN_REC_ApprenticeLabor</vt:lpstr>
      <vt:lpstr>REN_REC_Biodiesel</vt:lpstr>
      <vt:lpstr>REN_REC_Biomass</vt:lpstr>
      <vt:lpstr>REN_REC_DistributedGeneration</vt:lpstr>
      <vt:lpstr>REN_REC_Geothermal</vt:lpstr>
      <vt:lpstr>REN_REC_LandfillGas</vt:lpstr>
      <vt:lpstr>REN_REC_SewageGas</vt:lpstr>
      <vt:lpstr>REN_REC_Solar</vt:lpstr>
      <vt:lpstr>REN_REC_Wind</vt:lpstr>
      <vt:lpstr>REN_REC_WOT</vt:lpstr>
      <vt:lpstr>REN_RetailRevenueRequirement_2014</vt:lpstr>
      <vt:lpstr>REN_Submittal_Date</vt:lpstr>
      <vt:lpstr>REN_Total_2014</vt:lpstr>
      <vt:lpstr>REN_Utility_Name</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Glenn Blackmon</dc:creator>
  <cp:lastModifiedBy>Yanez, Zac</cp:lastModifiedBy>
  <cp:lastPrinted>2014-03-31T21:01:12Z</cp:lastPrinted>
  <dcterms:created xsi:type="dcterms:W3CDTF">2012-03-20T21:01:26Z</dcterms:created>
  <dcterms:modified xsi:type="dcterms:W3CDTF">2014-05-30T22:26:16Z</dcterms:modified>
</cp:coreProperties>
</file>