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440" windowHeight="11085" tabRatio="719" activeTab="3"/>
  </bookViews>
  <sheets>
    <sheet name="Instructions - 2014" sheetId="21" r:id="rId1"/>
    <sheet name="Instructions - Revise 2012" sheetId="20" r:id="rId2"/>
    <sheet name="Conservation Report" sheetId="23" r:id="rId3"/>
    <sheet name="Renewables Report" sheetId="22" r:id="rId4"/>
    <sheet name="Data" sheetId="19" state="hidden" r:id="rId5"/>
  </sheets>
  <externalReferences>
    <externalReference r:id="rId6"/>
    <externalReference r:id="rId7"/>
    <externalReference r:id="rId8"/>
  </externalReferences>
  <definedNames>
    <definedName name="CON_2012_Agriculture_Expend" localSheetId="2">'Conservation Report'!$E$20</definedName>
    <definedName name="CON_2012_Agriculture_Expend">#REF!</definedName>
    <definedName name="CON_2012_Agriculture_MWH" localSheetId="2">'Conservation Report'!$D$20</definedName>
    <definedName name="CON_2012_Agriculture_MWH" localSheetId="3">'[1]Conservation Report'!$D$20</definedName>
    <definedName name="CON_2012_Agriculture_MWH">#REF!</definedName>
    <definedName name="CON_2012_Commercial_Expend" localSheetId="2">'Conservation Report'!$E$18</definedName>
    <definedName name="CON_2012_Commercial_Expend" localSheetId="3">'[1]Conservation Report'!$E$18</definedName>
    <definedName name="CON_2012_Commercial_Expend">#REF!</definedName>
    <definedName name="CON_2012_Commercial_MWH" localSheetId="2">'Conservation Report'!$D$18</definedName>
    <definedName name="CON_2012_Commercial_MWH" localSheetId="3">'[1]Conservation Report'!$D$18</definedName>
    <definedName name="CON_2012_Commercial_MWH">#REF!</definedName>
    <definedName name="CON_2012_Distribution_Expend" localSheetId="2">'Conservation Report'!$E$21</definedName>
    <definedName name="CON_2012_Distribution_Expend" localSheetId="3">'[1]Conservation Report'!$E$21</definedName>
    <definedName name="CON_2012_Distribution_Expend">#REF!</definedName>
    <definedName name="CON_2012_Distribution_MWH" localSheetId="2">'Conservation Report'!$D$21</definedName>
    <definedName name="CON_2012_Distribution_MWH" localSheetId="3">'[1]Conservation Report'!$D$21</definedName>
    <definedName name="CON_2012_Distribution_MWH">#REF!</definedName>
    <definedName name="CON_2012_Expenditures" localSheetId="2">'Conservation Report'!$E$29</definedName>
    <definedName name="CON_2012_Expenditures" localSheetId="3">'[1]Conservation Report'!$E$29</definedName>
    <definedName name="CON_2012_Expenditures">#REF!</definedName>
    <definedName name="CON_2012_Industrial_Expend" localSheetId="2">'Conservation Report'!$E$19</definedName>
    <definedName name="CON_2012_Industrial_Expend" localSheetId="3">'[1]Conservation Report'!$E$19</definedName>
    <definedName name="CON_2012_Industrial_Expend">#REF!</definedName>
    <definedName name="CON_2012_Industrial_MWH" localSheetId="2">'Conservation Report'!$D$19</definedName>
    <definedName name="CON_2012_Industrial_MWH" localSheetId="3">'[1]Conservation Report'!$D$19</definedName>
    <definedName name="CON_2012_Industrial_MWH">#REF!</definedName>
    <definedName name="CON_2012_MWH" localSheetId="2">'Conservation Report'!$D$29</definedName>
    <definedName name="CON_2012_MWH" localSheetId="0">'[2]Conservation Report'!$D$29</definedName>
    <definedName name="CON_2012_MWH" localSheetId="3">'[1]Conservation Report'!$D$29</definedName>
    <definedName name="CON_2012_MWH">#REF!</definedName>
    <definedName name="CON_2012_NEEA_Expend" localSheetId="2">'Conservation Report'!$E$23</definedName>
    <definedName name="CON_2012_NEEA_Expend" localSheetId="3">'[1]Conservation Report'!$E$23</definedName>
    <definedName name="CON_2012_NEEA_Expend">#REF!</definedName>
    <definedName name="CON_2012_NEEA_MWH" localSheetId="2">'Conservation Report'!$D$23</definedName>
    <definedName name="CON_2012_NEEA_MWH" localSheetId="3">'[1]Conservation Report'!$D$23</definedName>
    <definedName name="CON_2012_NEEA_MWH">#REF!</definedName>
    <definedName name="CON_2012_OtherSector1_Expend" localSheetId="2">'Conservation Report'!$E$24</definedName>
    <definedName name="CON_2012_OtherSector1_Expend" localSheetId="3">'[1]Conservation Report'!$E$24</definedName>
    <definedName name="CON_2012_OtherSector1_Expend">#REF!</definedName>
    <definedName name="CON_2012_OtherSector1_MWH" localSheetId="2">'Conservation Report'!$D$24</definedName>
    <definedName name="CON_2012_OtherSector1_MWH" localSheetId="3">'[1]Conservation Report'!$D$24</definedName>
    <definedName name="CON_2012_OtherSector1_MWH">#REF!</definedName>
    <definedName name="CON_2012_OtherSector2_Expend" localSheetId="2">'Conservation Report'!$E$25</definedName>
    <definedName name="CON_2012_OtherSector2_Expend" localSheetId="3">'[1]Conservation Report'!$E$25</definedName>
    <definedName name="CON_2012_OtherSector2_Expend">#REF!</definedName>
    <definedName name="CON_2012_OtherSector2_MWH" localSheetId="2">'Conservation Report'!$D$25</definedName>
    <definedName name="CON_2012_OtherSector2_MWH" localSheetId="3">'[1]Conservation Report'!$D$25</definedName>
    <definedName name="CON_2012_OtherSector2_MWH">#REF!</definedName>
    <definedName name="CON_2012_Production_Expend" localSheetId="2">'Conservation Report'!$E$22</definedName>
    <definedName name="CON_2012_Production_Expend" localSheetId="3">'[1]Conservation Report'!$E$22</definedName>
    <definedName name="CON_2012_Production_Expend">#REF!</definedName>
    <definedName name="CON_2012_Production_MWH" localSheetId="2">'Conservation Report'!$D$22</definedName>
    <definedName name="CON_2012_Production_MWH" localSheetId="3">'[1]Conservation Report'!$D$22</definedName>
    <definedName name="CON_2012_Production_MWH">#REF!</definedName>
    <definedName name="CON_2012_Program1_Expend" localSheetId="2">'Conservation Report'!$E$27</definedName>
    <definedName name="CON_2012_Program1_Expend" localSheetId="3">'[1]Conservation Report'!$E$27</definedName>
    <definedName name="CON_2012_Program1_Expend">#REF!</definedName>
    <definedName name="CON_2012_Program2_Expend" localSheetId="2">'Conservation Report'!$E$28</definedName>
    <definedName name="CON_2012_Program2_Expend" localSheetId="3">'[1]Conservation Report'!$E$28</definedName>
    <definedName name="CON_2012_Program2_Expend">#REF!</definedName>
    <definedName name="CON_2012_Residential_Expend" localSheetId="2">'Conservation Report'!$E$17</definedName>
    <definedName name="CON_2012_Residential_Expend" localSheetId="3">'[1]Conservation Report'!$E$17</definedName>
    <definedName name="CON_2012_Residential_Expend">#REF!</definedName>
    <definedName name="CON_2012_Residential_MWH" localSheetId="2">'Conservation Report'!$D$17</definedName>
    <definedName name="CON_2012_Residential_MWH" localSheetId="3">'[1]Conservation Report'!$D$17</definedName>
    <definedName name="CON_2012_Residential_MWH">#REF!</definedName>
    <definedName name="CON_2013_Agriculture_Expend" localSheetId="2">'Conservation Report'!$H$20</definedName>
    <definedName name="CON_2013_Agriculture_Expend" localSheetId="3">'[1]Conservation Report'!$H$20</definedName>
    <definedName name="CON_2013_Agriculture_Expend">#REF!</definedName>
    <definedName name="CON_2013_Agriculture_MWH" localSheetId="2">'Conservation Report'!$G$20</definedName>
    <definedName name="CON_2013_Agriculture_MWH" localSheetId="3">'[1]Conservation Report'!$G$20</definedName>
    <definedName name="CON_2013_Agriculture_MWH">#REF!</definedName>
    <definedName name="CON_2013_Commercial_Expend" localSheetId="2">'Conservation Report'!$H$18</definedName>
    <definedName name="CON_2013_Commercial_Expend" localSheetId="3">'[1]Conservation Report'!$H$18</definedName>
    <definedName name="CON_2013_Commercial_Expend">#REF!</definedName>
    <definedName name="CON_2013_Commercial_MWH" localSheetId="2">'Conservation Report'!$G$18</definedName>
    <definedName name="CON_2013_Commercial_MWH" localSheetId="3">'[1]Conservation Report'!$G$18</definedName>
    <definedName name="CON_2013_Commercial_MWH">#REF!</definedName>
    <definedName name="CON_2013_Distribution_Expend" localSheetId="2">'Conservation Report'!$H$21</definedName>
    <definedName name="CON_2013_Distribution_Expend" localSheetId="3">'[1]Conservation Report'!$H$21</definedName>
    <definedName name="CON_2013_Distribution_Expend">#REF!</definedName>
    <definedName name="CON_2013_Distribution_MWH" localSheetId="2">'Conservation Report'!$G$21</definedName>
    <definedName name="CON_2013_Distribution_MWH" localSheetId="3">'[1]Conservation Report'!$G$21</definedName>
    <definedName name="CON_2013_Distribution_MWH">#REF!</definedName>
    <definedName name="CON_2013_Expenditures" localSheetId="2">'Conservation Report'!$H$29</definedName>
    <definedName name="CON_2013_Expenditures" localSheetId="3">'[1]Conservation Report'!$H$29</definedName>
    <definedName name="CON_2013_Expenditures">#REF!</definedName>
    <definedName name="CON_2013_Industrial_Expend" localSheetId="2">'Conservation Report'!$H$19</definedName>
    <definedName name="CON_2013_Industrial_Expend" localSheetId="3">'[1]Conservation Report'!$H$19</definedName>
    <definedName name="CON_2013_Industrial_Expend">#REF!</definedName>
    <definedName name="CON_2013_Industrial_MWH" localSheetId="2">'Conservation Report'!$G$19</definedName>
    <definedName name="CON_2013_Industrial_MWH" localSheetId="3">'[1]Conservation Report'!$G$19</definedName>
    <definedName name="CON_2013_Industrial_MWH">#REF!</definedName>
    <definedName name="CON_2013_MWH" localSheetId="2">'Conservation Report'!$G$29</definedName>
    <definedName name="CON_2013_MWH" localSheetId="0">'[2]Conservation Report'!$G$29</definedName>
    <definedName name="CON_2013_MWH" localSheetId="3">'[1]Conservation Report'!$G$29</definedName>
    <definedName name="CON_2013_MWH">#REF!</definedName>
    <definedName name="CON_2013_NEEA_Expend" localSheetId="2">'Conservation Report'!$H$23</definedName>
    <definedName name="CON_2013_NEEA_Expend" localSheetId="3">'[1]Conservation Report'!$H$23</definedName>
    <definedName name="CON_2013_NEEA_Expend">#REF!</definedName>
    <definedName name="CON_2013_NEEA_MWH" localSheetId="2">'Conservation Report'!$G$23</definedName>
    <definedName name="CON_2013_NEEA_MWH" localSheetId="3">'[1]Conservation Report'!$G$23</definedName>
    <definedName name="CON_2013_NEEA_MWH">#REF!</definedName>
    <definedName name="CON_2013_OtherSector1_Expend" localSheetId="2">'Conservation Report'!$H$24</definedName>
    <definedName name="CON_2013_OtherSector1_Expend" localSheetId="3">'[1]Conservation Report'!$H$24</definedName>
    <definedName name="CON_2013_OtherSector1_Expend">#REF!</definedName>
    <definedName name="CON_2013_OtherSector1_MWH" localSheetId="2">'Conservation Report'!$G$24</definedName>
    <definedName name="CON_2013_OtherSector1_MWH" localSheetId="3">'[1]Conservation Report'!$G$24</definedName>
    <definedName name="CON_2013_OtherSector1_MWH">#REF!</definedName>
    <definedName name="CON_2013_OtherSector2_Expend" localSheetId="2">'Conservation Report'!$H$25</definedName>
    <definedName name="CON_2013_OtherSector2_Expend" localSheetId="3">'[1]Conservation Report'!$H$25</definedName>
    <definedName name="CON_2013_OtherSector2_Expend">#REF!</definedName>
    <definedName name="CON_2013_OtherSector2_MWH" localSheetId="2">'Conservation Report'!$G$25</definedName>
    <definedName name="CON_2013_OtherSector2_MWH" localSheetId="3">'[1]Conservation Report'!$G$25</definedName>
    <definedName name="CON_2013_OtherSector2_MWH">#REF!</definedName>
    <definedName name="CON_2013_Production_Expend" localSheetId="2">'Conservation Report'!$H$22</definedName>
    <definedName name="CON_2013_Production_Expend" localSheetId="3">'[1]Conservation Report'!$H$22</definedName>
    <definedName name="CON_2013_Production_Expend">#REF!</definedName>
    <definedName name="CON_2013_Production_MWH" localSheetId="2">'Conservation Report'!$G$22</definedName>
    <definedName name="CON_2013_Production_MWH" localSheetId="3">'[1]Conservation Report'!$G$22</definedName>
    <definedName name="CON_2013_Production_MWH">#REF!</definedName>
    <definedName name="CON_2013_Program1_Expend" localSheetId="2">'Conservation Report'!$H$27</definedName>
    <definedName name="CON_2013_Program1_Expend" localSheetId="3">'[1]Conservation Report'!$H$27</definedName>
    <definedName name="CON_2013_Program1_Expend">#REF!</definedName>
    <definedName name="CON_2013_Program2_Expend" localSheetId="2">'Conservation Report'!$H$28</definedName>
    <definedName name="CON_2013_Program2_Expend" localSheetId="3">'[1]Conservation Report'!$H$28</definedName>
    <definedName name="CON_2013_Program2_Expend">#REF!</definedName>
    <definedName name="CON_2013_Residential_Expend" localSheetId="2">'Conservation Report'!$H$17</definedName>
    <definedName name="CON_2013_Residential_Expend" localSheetId="3">'[1]Conservation Report'!$H$17</definedName>
    <definedName name="CON_2013_Residential_Expend">#REF!</definedName>
    <definedName name="CON_2013_Residential_MWH" localSheetId="2">'Conservation Report'!$G$17</definedName>
    <definedName name="CON_2013_Residential_MWH" localSheetId="3">'[1]Conservation Report'!$G$17</definedName>
    <definedName name="CON_2013_Residential_MWH">#REF!</definedName>
    <definedName name="CON_Contact_Name" localSheetId="2">'Conservation Report'!$C$5</definedName>
    <definedName name="CON_Contact_Name" localSheetId="3">'[1]Conservation Report'!$C$5</definedName>
    <definedName name="CON_Contact_Name">#REF!</definedName>
    <definedName name="CON_Email" localSheetId="2">'Conservation Report'!$C$7</definedName>
    <definedName name="CON_Email" localSheetId="3">'[1]Conservation Report'!$C$7</definedName>
    <definedName name="CON_Email">#REF!</definedName>
    <definedName name="CON_Phone" localSheetId="2">'Conservation Report'!$C$6</definedName>
    <definedName name="CON_Phone" localSheetId="3">'[1]Conservation Report'!$C$6</definedName>
    <definedName name="CON_Phone">#REF!</definedName>
    <definedName name="CON_Potential_2012_2021" localSheetId="2">'Conservation Report'!$B$12</definedName>
    <definedName name="CON_Potential_2012_2021" localSheetId="3">'[1]Conservation Report'!$B$12</definedName>
    <definedName name="CON_Potential_2012_2021">#REF!</definedName>
    <definedName name="CON_Potential_2014_2023" localSheetId="2">'Conservation Report'!$D$12</definedName>
    <definedName name="CON_Potential_2014_2023" localSheetId="3">'[1]Conservation Report'!$D$12</definedName>
    <definedName name="CON_Potential_2014_2023">#REF!</definedName>
    <definedName name="CON_Report_Date" localSheetId="2">'Conservation Report'!$C$4</definedName>
    <definedName name="CON_Report_Date" localSheetId="3">'[1]Conservation Report'!$C$4</definedName>
    <definedName name="CON_Report_Date">#REF!</definedName>
    <definedName name="CON_Target_2012_2013" localSheetId="2">'Conservation Report'!$C$12</definedName>
    <definedName name="CON_Target_2012_2013" localSheetId="3">'[1]Conservation Report'!$C$12</definedName>
    <definedName name="CON_Target_2012_2013">#REF!</definedName>
    <definedName name="CON_Target_2014_2015" localSheetId="2">'Conservation Report'!$E$12</definedName>
    <definedName name="CON_Target_2014_2015" localSheetId="3">'[1]Conservation Report'!$E$12</definedName>
    <definedName name="CON_Target_2014_2015">#REF!</definedName>
    <definedName name="CON_Utility_Name" localSheetId="2">'Conservation Report'!$C$3</definedName>
    <definedName name="CON_Utility_Name" localSheetId="0">'[2]Conservation Report'!$C$3:$E$3</definedName>
    <definedName name="CON_Utility_Name" localSheetId="3">'[1]Conservation Report'!$C$3</definedName>
    <definedName name="CON_Utility_Name">#REF!</definedName>
    <definedName name="_xlnm.Print_Area" localSheetId="2">'Conservation Report'!$A$1:$J$66</definedName>
    <definedName name="_xlnm.Print_Area" localSheetId="3">'Renewables Report'!$A$1:$O$136</definedName>
    <definedName name="REN_Contact_Name" localSheetId="2">'[3]Renewables Report'!$C$5</definedName>
    <definedName name="REN_Contact_Name" localSheetId="3">'Renewables Report'!$C$5</definedName>
    <definedName name="REN_Contact_Name">#REF!</definedName>
    <definedName name="REN_Email" localSheetId="2">'[3]Renewables Report'!$C$7</definedName>
    <definedName name="REN_Email" localSheetId="3">'Renewables Report'!$C$7</definedName>
    <definedName name="REN_Email">#REF!</definedName>
    <definedName name="REN_ERR_ApprenticeLabor" localSheetId="2">'[3]Renewables Report'!$L$18</definedName>
    <definedName name="REN_ERR_ApprenticeLabor" localSheetId="3">'Renewables Report'!$L$18</definedName>
    <definedName name="REN_ERR_ApprenticeLabor">#REF!</definedName>
    <definedName name="REN_ERR_Biodiesel" localSheetId="2">'[3]Renewables Report'!$J$18</definedName>
    <definedName name="REN_ERR_Biodiesel" localSheetId="3">'Renewables Report'!$J$18</definedName>
    <definedName name="REN_ERR_Biodiesel">#REF!</definedName>
    <definedName name="REN_ERR_Biomass" localSheetId="2">'[3]Renewables Report'!$K$18</definedName>
    <definedName name="REN_ERR_Biomass" localSheetId="3">'Renewables Report'!$K$18</definedName>
    <definedName name="REN_ERR_Biomass">#REF!</definedName>
    <definedName name="REN_ERR_Geothermal" localSheetId="2">'[3]Renewables Report'!$F$18</definedName>
    <definedName name="REN_ERR_Geothermal" localSheetId="3">'Renewables Report'!$F$18</definedName>
    <definedName name="REN_ERR_Geothermal">#REF!</definedName>
    <definedName name="REN_ERR_LandfillGas" localSheetId="2">'[3]Renewables Report'!$G$18</definedName>
    <definedName name="REN_ERR_LandfillGas" localSheetId="3">'Renewables Report'!$G$18</definedName>
    <definedName name="REN_ERR_LandfillGas">#REF!</definedName>
    <definedName name="REN_ERR_SewageGas" localSheetId="2">'[3]Renewables Report'!$I$18</definedName>
    <definedName name="REN_ERR_SewageGas" localSheetId="3">'Renewables Report'!$I$18</definedName>
    <definedName name="REN_ERR_SewageGas">#REF!</definedName>
    <definedName name="REN_ERR_Solar" localSheetId="2">'[3]Renewables Report'!$E$18</definedName>
    <definedName name="REN_ERR_Solar" localSheetId="3">'Renewables Report'!$E$18</definedName>
    <definedName name="REN_ERR_Solar">#REF!</definedName>
    <definedName name="REN_ERR_Water" localSheetId="2">'[3]Renewables Report'!$C$18</definedName>
    <definedName name="REN_ERR_Water" localSheetId="3">'Renewables Report'!$C$18</definedName>
    <definedName name="REN_ERR_Water">#REF!</definedName>
    <definedName name="REN_ERR_Wind" localSheetId="2">'[3]Renewables Report'!$D$18</definedName>
    <definedName name="REN_ERR_Wind" localSheetId="3">'Renewables Report'!$D$18</definedName>
    <definedName name="REN_ERR_Wind">#REF!</definedName>
    <definedName name="REN_ERR_WOT" localSheetId="2">'[3]Renewables Report'!$H$18</definedName>
    <definedName name="REN_ERR_WOT" localSheetId="3">'Renewables Report'!$H$18</definedName>
    <definedName name="REN_ERR_WOT">#REF!</definedName>
    <definedName name="REN_Expenditure_Amount_2014" localSheetId="2">'[3]Renewables Report'!$N$11</definedName>
    <definedName name="REN_Expenditure_Amount_2014" localSheetId="3">'Renewables Report'!$N$11</definedName>
    <definedName name="REN_Expenditure_Amount_2014">#REF!</definedName>
    <definedName name="REN_Expenditure_Percent_2014" localSheetId="2">'[3]Renewables Report'!$N$13</definedName>
    <definedName name="REN_Expenditure_Percent_2014" localSheetId="3">'Renewables Report'!$N$13</definedName>
    <definedName name="REN_Expenditure_Percent_2014">#REF!</definedName>
    <definedName name="REN_Load_2012" localSheetId="2">'[3]Renewables Report'!$N$3</definedName>
    <definedName name="REN_Load_2012" localSheetId="3">'Renewables Report'!$N$3</definedName>
    <definedName name="REN_Load_2012">#REF!</definedName>
    <definedName name="REN_Load_2013" localSheetId="2">'[3]Renewables Report'!$N$4</definedName>
    <definedName name="REN_Load_2013" localSheetId="3">'Renewables Report'!$N$4</definedName>
    <definedName name="REN_Load_2013">#REF!</definedName>
    <definedName name="REN_REC_ApprenticeLabor" localSheetId="2">'[3]Renewables Report'!$L$19</definedName>
    <definedName name="REN_REC_ApprenticeLabor" localSheetId="3">'Renewables Report'!$L$19</definedName>
    <definedName name="REN_REC_ApprenticeLabor">#REF!</definedName>
    <definedName name="REN_REC_Biodiesel" localSheetId="2">'[3]Renewables Report'!$J$19</definedName>
    <definedName name="REN_REC_Biodiesel" localSheetId="3">'Renewables Report'!$J$19</definedName>
    <definedName name="REN_REC_Biodiesel">#REF!</definedName>
    <definedName name="REN_REC_Biomass" localSheetId="2">'[3]Renewables Report'!$K$19</definedName>
    <definedName name="REN_REC_Biomass" localSheetId="3">'Renewables Report'!$K$19</definedName>
    <definedName name="REN_REC_Biomass">#REF!</definedName>
    <definedName name="REN_REC_DistributedGeneration" localSheetId="2">'[3]Renewables Report'!$M$19</definedName>
    <definedName name="REN_REC_DistributedGeneration" localSheetId="3">'Renewables Report'!$M$19</definedName>
    <definedName name="REN_REC_DistributedGeneration">#REF!</definedName>
    <definedName name="REN_REC_Geothermal" localSheetId="2">'[3]Renewables Report'!$F$19</definedName>
    <definedName name="REN_REC_Geothermal" localSheetId="3">'Renewables Report'!$F$19</definedName>
    <definedName name="REN_REC_Geothermal">#REF!</definedName>
    <definedName name="REN_REC_LandfillGas" localSheetId="2">'[3]Renewables Report'!$G$19</definedName>
    <definedName name="REN_REC_LandfillGas" localSheetId="3">'Renewables Report'!$G$19</definedName>
    <definedName name="REN_REC_LandfillGas">#REF!</definedName>
    <definedName name="REN_REC_SewageGas" localSheetId="2">'[3]Renewables Report'!$I$19</definedName>
    <definedName name="REN_REC_SewageGas" localSheetId="3">'Renewables Report'!$I$19</definedName>
    <definedName name="REN_REC_SewageGas">#REF!</definedName>
    <definedName name="REN_REC_Solar" localSheetId="2">'[3]Renewables Report'!$E$19</definedName>
    <definedName name="REN_REC_Solar" localSheetId="3">'Renewables Report'!$E$19</definedName>
    <definedName name="REN_REC_Solar">#REF!</definedName>
    <definedName name="REN_REC_Wind" localSheetId="2">'[3]Renewables Report'!$D$19</definedName>
    <definedName name="REN_REC_Wind" localSheetId="3">'Renewables Report'!$D$19</definedName>
    <definedName name="REN_REC_Wind">#REF!</definedName>
    <definedName name="REN_REC_WOT" localSheetId="2">'[3]Renewables Report'!$H$19</definedName>
    <definedName name="REN_REC_WOT" localSheetId="3">'Renewables Report'!$H$19</definedName>
    <definedName name="REN_REC_WOT">#REF!</definedName>
    <definedName name="REN_RetailRevenueRequirement_2014" localSheetId="2">'[3]Renewables Report'!$N$12</definedName>
    <definedName name="REN_RetailRevenueRequirement_2014" localSheetId="3">'Renewables Report'!$N$12</definedName>
    <definedName name="REN_RetailRevenueRequirement_2014">#REF!</definedName>
    <definedName name="REN_Submittal_Date" localSheetId="2">'[3]Renewables Report'!$C$4</definedName>
    <definedName name="REN_Submittal_Date" localSheetId="3">'Renewables Report'!$C$4</definedName>
    <definedName name="REN_Submittal_Date">#REF!</definedName>
    <definedName name="REN_Total_2014" localSheetId="2">'[3]Renewables Report'!$N$8</definedName>
    <definedName name="REN_Total_2014" localSheetId="3">'Renewables Report'!$N$8</definedName>
    <definedName name="REN_Total_2014">#REF!</definedName>
    <definedName name="REN_Utility_Name" localSheetId="2">'[3]Renewables Report'!$C$3</definedName>
    <definedName name="REN_Utility_Name" localSheetId="3">'Renewables Report'!$C$3</definedName>
    <definedName name="REN_Utility_Name">#REF!</definedName>
    <definedName name="Target_2012_2013">'[2]Conservation Report'!$C$12</definedName>
    <definedName name="Target_2014_2015">'[2]Conservation Report'!$E$12</definedName>
  </definedNames>
  <calcPr calcId="152511"/>
</workbook>
</file>

<file path=xl/calcChain.xml><?xml version="1.0" encoding="utf-8"?>
<calcChain xmlns="http://schemas.openxmlformats.org/spreadsheetml/2006/main">
  <c r="N8" i="22" l="1"/>
  <c r="C31" i="23" l="1"/>
  <c r="H29" i="23"/>
  <c r="G29" i="23"/>
  <c r="E29" i="23"/>
  <c r="D29" i="23"/>
  <c r="H7" i="23"/>
  <c r="J6" i="23"/>
  <c r="H6" i="23"/>
  <c r="H8" i="23" s="1"/>
  <c r="N5" i="23"/>
  <c r="F98" i="22" l="1"/>
  <c r="F66" i="22"/>
  <c r="F36" i="22"/>
  <c r="J20" i="22"/>
  <c r="I20" i="22"/>
  <c r="H20" i="22"/>
  <c r="C20" i="22"/>
  <c r="M19" i="22"/>
  <c r="M20" i="22" s="1"/>
  <c r="L19" i="22"/>
  <c r="K19" i="22"/>
  <c r="K20" i="22" s="1"/>
  <c r="J19" i="22"/>
  <c r="I19" i="22"/>
  <c r="H19" i="22"/>
  <c r="G19" i="22"/>
  <c r="F19" i="22"/>
  <c r="E19" i="22"/>
  <c r="D19" i="22"/>
  <c r="L18" i="22"/>
  <c r="L20" i="22" s="1"/>
  <c r="K18" i="22"/>
  <c r="J18" i="22"/>
  <c r="I18" i="22"/>
  <c r="H18" i="22"/>
  <c r="G18" i="22"/>
  <c r="G20" i="22" s="1"/>
  <c r="F18" i="22"/>
  <c r="F20" i="22" s="1"/>
  <c r="E18" i="22"/>
  <c r="E20" i="22" s="1"/>
  <c r="D18" i="22"/>
  <c r="D20" i="22" s="1"/>
  <c r="C18" i="22"/>
  <c r="N13" i="22"/>
  <c r="N5" i="22"/>
  <c r="N7" i="22" s="1"/>
  <c r="N5" i="21" l="1"/>
  <c r="N5" i="20"/>
  <c r="A2" i="19" l="1"/>
  <c r="CF2" i="19"/>
  <c r="CD2" i="19"/>
  <c r="CC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P2" i="19" l="1"/>
  <c r="BL2" i="19" l="1"/>
  <c r="BM2" i="19"/>
  <c r="BK2" i="19"/>
  <c r="BH2" i="19"/>
  <c r="BI2" i="19"/>
  <c r="BN2" i="19"/>
  <c r="BJ2" i="19"/>
  <c r="BF2" i="19"/>
  <c r="BG2" i="19"/>
  <c r="BE2" i="19"/>
  <c r="AD2" i="19" l="1"/>
  <c r="AG2" i="19"/>
  <c r="H2" i="19"/>
  <c r="K2" i="19"/>
  <c r="BV2" i="19" l="1"/>
  <c r="BS2" i="19" l="1"/>
  <c r="BU2" i="19"/>
  <c r="BT2" i="19"/>
  <c r="BY2" i="19"/>
  <c r="CB2" i="19"/>
  <c r="BX2" i="19"/>
  <c r="BW2" i="19"/>
  <c r="BZ2" i="19"/>
  <c r="CA2" i="19"/>
  <c r="CE2" i="19" l="1"/>
  <c r="B2" i="19"/>
</calcChain>
</file>

<file path=xl/sharedStrings.xml><?xml version="1.0" encoding="utf-8"?>
<sst xmlns="http://schemas.openxmlformats.org/spreadsheetml/2006/main" count="332" uniqueCount="246">
  <si>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</si>
  <si>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</si>
  <si>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</si>
  <si>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</si>
  <si>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</si>
  <si>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</si>
  <si>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</si>
  <si>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</si>
  <si>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</si>
  <si>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</si>
  <si>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</si>
  <si>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</si>
  <si>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</si>
  <si>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</si>
  <si>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</si>
  <si>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</si>
  <si>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</si>
  <si>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</si>
  <si>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</si>
  <si>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</si>
  <si>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</si>
  <si>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</si>
  <si>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</si>
  <si>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</si>
  <si>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</si>
  <si>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</si>
  <si>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</si>
  <si>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</si>
  <si>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</si>
  <si>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</si>
  <si>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</si>
  <si>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</si>
  <si>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</si>
  <si>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</si>
  <si>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</si>
  <si>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</si>
  <si>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</si>
  <si>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</si>
  <si>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</si>
  <si>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</si>
  <si>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</si>
  <si>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</si>
  <si>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</si>
  <si>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</si>
  <si>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</si>
  <si>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</si>
  <si>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</si>
  <si>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</si>
  <si>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</si>
  <si>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</si>
  <si>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</si>
  <si>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</si>
  <si>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</si>
  <si>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</si>
  <si>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</si>
  <si>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</si>
  <si>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</si>
  <si>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</si>
  <si>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</si>
  <si>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</si>
  <si>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</si>
  <si>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</si>
  <si>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</si>
  <si>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</si>
  <si>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</si>
  <si>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</si>
  <si>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</si>
  <si>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</si>
  <si>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</si>
  <si>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</si>
  <si>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</si>
  <si>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</si>
  <si>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</si>
  <si>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</si>
  <si>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</si>
  <si>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</si>
  <si>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</si>
  <si>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</si>
  <si>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</si>
  <si>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</si>
  <si>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</si>
  <si>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</si>
  <si>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</si>
  <si>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</si>
  <si>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</si>
  <si>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</si>
  <si>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</si>
  <si>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</si>
  <si>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</si>
  <si>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</si>
  <si>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</si>
  <si>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</si>
  <si>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</si>
  <si>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</si>
  <si>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</si>
  <si>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</si>
  <si>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</si>
  <si>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</si>
  <si>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</si>
  <si>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</si>
  <si>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</si>
  <si>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</si>
  <si>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</si>
  <si>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</si>
  <si>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</si>
  <si>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</si>
  <si>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</si>
  <si>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</si>
  <si>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</si>
  <si>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</si>
  <si>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</si>
  <si>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</si>
  <si>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</si>
  <si>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</si>
  <si>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</si>
  <si>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</si>
  <si>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</si>
  <si>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</si>
  <si>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</si>
  <si>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</si>
  <si>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</si>
  <si>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</si>
  <si>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</si>
  <si>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</si>
  <si>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</si>
  <si>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</si>
  <si>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</si>
  <si>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</si>
  <si>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</si>
  <si>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</si>
  <si>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</si>
  <si>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</si>
  <si>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</si>
  <si>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</si>
  <si>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</si>
  <si>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</si>
  <si>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</si>
  <si>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</si>
  <si>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</si>
  <si>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</si>
  <si>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</si>
  <si>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</si>
  <si>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</si>
  <si>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</si>
  <si>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</si>
  <si>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</si>
  <si>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</si>
  <si>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</si>
  <si>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</si>
  <si>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</si>
  <si>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</si>
  <si>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</si>
  <si>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</si>
  <si>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</si>
  <si>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</si>
  <si>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</si>
  <si>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</si>
  <si>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</si>
  <si>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</si>
  <si>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</si>
  <si>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</si>
  <si>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</si>
  <si>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</si>
  <si>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</si>
  <si>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</si>
  <si>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</si>
  <si>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</si>
  <si>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</si>
  <si>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</si>
  <si>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</si>
  <si>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</si>
  <si>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</si>
  <si>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</si>
  <si>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</si>
  <si>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</si>
  <si>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</si>
  <si>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</si>
  <si>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</si>
  <si>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</si>
  <si>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</si>
  <si>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</si>
  <si>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</si>
  <si>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</si>
  <si>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</si>
  <si>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</si>
  <si>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</si>
  <si>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</si>
  <si>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</si>
  <si>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</si>
  <si>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</si>
  <si>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</si>
  <si>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</si>
  <si>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</si>
  <si>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</si>
  <si>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</si>
  <si>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</si>
  <si>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</si>
  <si>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</si>
  <si>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</si>
  <si>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</si>
  <si>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</si>
  <si>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</si>
  <si>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</si>
  <si>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</si>
  <si>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</si>
  <si>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</si>
  <si>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</si>
  <si>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</si>
  <si>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</si>
  <si>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</si>
  <si>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</si>
  <si>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</si>
  <si>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</si>
  <si>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</si>
  <si>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</si>
  <si>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</si>
  <si>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</si>
  <si>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</si>
  <si>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</si>
  <si>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</si>
  <si>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 xml:space="preserve">Mason County PUD No. 3 </t>
  </si>
  <si>
    <t xml:space="preserve">Justin Holzgrove </t>
  </si>
  <si>
    <t>360-426-8255 ext. 5323</t>
  </si>
  <si>
    <t>justinh@masonpud3.org</t>
  </si>
  <si>
    <t>Mason County PUD No.3</t>
  </si>
  <si>
    <t>Matt Samuelson-Power Supply Manger</t>
  </si>
  <si>
    <t>(360) 426-8255</t>
  </si>
  <si>
    <t>matts@masonpud3.org</t>
  </si>
  <si>
    <t>White Creek Wind-(2013)</t>
  </si>
  <si>
    <t>GUID W360</t>
  </si>
  <si>
    <t>(BPA) Condon Wind Power Project-Phase I-(2013)</t>
  </si>
  <si>
    <t>GUID W774</t>
  </si>
  <si>
    <t>(BPA) Condon Wind Power Project-Phase II-(2013)</t>
  </si>
  <si>
    <t>GUID W833</t>
  </si>
  <si>
    <t>(BPA) Stateline (WA)-FPL Energy Vansycle LLC-(2013)</t>
  </si>
  <si>
    <t>GUID W248</t>
  </si>
  <si>
    <t>(BPA) Klondike I-Klondike Wind Power LLC-(2013)</t>
  </si>
  <si>
    <t>GUID W238</t>
  </si>
  <si>
    <t>(BPA) Klondike III-Klondike Wind Power III LLC-(2013)</t>
  </si>
  <si>
    <t>GUID W237</t>
  </si>
  <si>
    <t>Nine Canyon Wind Phases 1&amp;2-(2013)</t>
  </si>
  <si>
    <t>GUID W684</t>
  </si>
  <si>
    <t>Nine Canyon Wind Phase 3, GUID W697-(2013)</t>
  </si>
  <si>
    <t>GUID W697</t>
  </si>
  <si>
    <t>Mason County PUD No.3 P.V.--A&amp;P Solar, D.G.</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</si>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</sst>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6"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rgb="FFFFFF00"/>
        <bgColor indexed="64"/>
      </patternFill>
    </fill>
  </fills>
  <borders count="4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89">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7" fillId="2" borderId="0" xfId="0" applyNumberFormat="1" applyFont="1" applyFill="1" applyBorder="1" applyAlignment="1"/>
    <xf numFmtId="0" fontId="3" fillId="2" borderId="0" xfId="0" applyFont="1" applyFill="1" applyAlignment="1">
      <alignment horizontal="center"/>
    </xf>
    <xf numFmtId="0" fontId="1"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6" xfId="0" applyNumberFormat="1" applyFont="1" applyFill="1" applyBorder="1" applyAlignment="1">
      <alignment horizontal="center"/>
    </xf>
    <xf numFmtId="0" fontId="10" fillId="2" borderId="37"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8"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0" xfId="0" applyFont="1" applyBorder="1" applyAlignment="1"/>
    <xf numFmtId="0" fontId="3" fillId="2" borderId="40"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7"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1" xfId="0" applyFont="1" applyBorder="1" applyAlignment="1">
      <alignment vertical="center" wrapText="1"/>
    </xf>
    <xf numFmtId="0" fontId="26" fillId="0" borderId="42" xfId="0" applyFont="1" applyBorder="1" applyAlignment="1">
      <alignment vertical="center" wrapText="1"/>
    </xf>
    <xf numFmtId="0" fontId="20" fillId="0" borderId="42" xfId="0" applyFont="1" applyBorder="1" applyAlignment="1">
      <alignment vertical="center" wrapText="1"/>
    </xf>
    <xf numFmtId="0" fontId="20" fillId="0" borderId="43" xfId="0" applyFont="1" applyBorder="1" applyAlignment="1">
      <alignment vertical="center" wrapText="1"/>
    </xf>
    <xf numFmtId="0" fontId="28" fillId="8" borderId="44" xfId="0" applyFont="1" applyFill="1" applyBorder="1" applyAlignment="1">
      <alignment vertical="center"/>
    </xf>
    <xf numFmtId="0" fontId="28" fillId="8" borderId="45" xfId="0" applyFont="1" applyFill="1" applyBorder="1" applyAlignment="1">
      <alignment vertical="center"/>
    </xf>
    <xf numFmtId="0" fontId="30" fillId="8" borderId="42" xfId="0" applyFont="1" applyFill="1" applyBorder="1" applyAlignment="1">
      <alignment vertical="center" wrapText="1"/>
    </xf>
    <xf numFmtId="0" fontId="30" fillId="8" borderId="45" xfId="0" applyFont="1" applyFill="1" applyBorder="1" applyAlignment="1">
      <alignment vertical="center" wrapText="1"/>
    </xf>
    <xf numFmtId="0" fontId="28" fillId="8" borderId="42" xfId="0" applyFont="1" applyFill="1" applyBorder="1" applyAlignment="1">
      <alignment vertical="center" wrapText="1"/>
    </xf>
    <xf numFmtId="0" fontId="30" fillId="8" borderId="45" xfId="0" applyFont="1" applyFill="1" applyBorder="1" applyAlignment="1">
      <alignment vertical="center"/>
    </xf>
    <xf numFmtId="0" fontId="28" fillId="8" borderId="45" xfId="0" applyFont="1" applyFill="1" applyBorder="1" applyAlignment="1">
      <alignment vertical="center" wrapText="1"/>
    </xf>
    <xf numFmtId="0" fontId="26" fillId="8" borderId="45" xfId="0" applyFont="1" applyFill="1" applyBorder="1" applyAlignment="1">
      <alignment vertical="center"/>
    </xf>
    <xf numFmtId="0" fontId="28" fillId="8" borderId="42" xfId="0" applyFont="1" applyFill="1" applyBorder="1" applyAlignment="1">
      <alignment horizontal="left" vertical="center" wrapText="1" indent="5"/>
    </xf>
    <xf numFmtId="0" fontId="28" fillId="8" borderId="45" xfId="0" applyFont="1" applyFill="1" applyBorder="1" applyAlignment="1">
      <alignment horizontal="left" vertical="center" wrapText="1" indent="5"/>
    </xf>
    <xf numFmtId="0" fontId="30" fillId="8" borderId="42" xfId="0" applyFont="1" applyFill="1" applyBorder="1" applyAlignment="1">
      <alignment vertical="center"/>
    </xf>
    <xf numFmtId="0" fontId="32" fillId="8" borderId="42" xfId="0" applyFont="1" applyFill="1" applyBorder="1" applyAlignment="1">
      <alignment horizontal="left" vertical="center" wrapText="1" indent="5"/>
    </xf>
    <xf numFmtId="0" fontId="32" fillId="8" borderId="45" xfId="0" applyFont="1" applyFill="1" applyBorder="1" applyAlignment="1">
      <alignment horizontal="left" vertical="center" indent="5"/>
    </xf>
    <xf numFmtId="0" fontId="0" fillId="8" borderId="42" xfId="0" applyFill="1" applyBorder="1" applyAlignment="1">
      <alignment vertical="center" wrapText="1"/>
    </xf>
    <xf numFmtId="0" fontId="32" fillId="8" borderId="45" xfId="0" applyFont="1" applyFill="1" applyBorder="1" applyAlignment="1">
      <alignment horizontal="left" vertical="center" wrapText="1" indent="5"/>
    </xf>
    <xf numFmtId="0" fontId="31" fillId="8" borderId="45" xfId="0" applyFont="1" applyFill="1" applyBorder="1" applyAlignment="1">
      <alignment vertical="center" wrapText="1"/>
    </xf>
    <xf numFmtId="0" fontId="30" fillId="8" borderId="43" xfId="0" applyFont="1" applyFill="1" applyBorder="1" applyAlignment="1">
      <alignment vertical="center"/>
    </xf>
    <xf numFmtId="0" fontId="10" fillId="2" borderId="0" xfId="0" applyNumberFormat="1" applyFont="1" applyFill="1"/>
    <xf numFmtId="0" fontId="0" fillId="0" borderId="0" xfId="0" applyNumberFormat="1"/>
    <xf numFmtId="168" fontId="35" fillId="8" borderId="45" xfId="0" applyNumberFormat="1" applyFont="1" applyFill="1" applyBorder="1" applyAlignment="1">
      <alignment horizontal="left" vertical="center"/>
    </xf>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3" fontId="0" fillId="9" borderId="0" xfId="0" applyNumberFormat="1" applyFill="1" applyAlignment="1">
      <alignment horizontal="center"/>
    </xf>
    <xf numFmtId="3" fontId="10" fillId="3" borderId="36" xfId="0" applyNumberFormat="1" applyFont="1" applyFill="1" applyBorder="1" applyAlignment="1">
      <alignment horizontal="center"/>
    </xf>
    <xf numFmtId="0" fontId="10" fillId="4" borderId="12" xfId="0" applyFont="1" applyFill="1" applyBorder="1"/>
    <xf numFmtId="0" fontId="10" fillId="4" borderId="46" xfId="0" applyFont="1" applyFill="1" applyBorder="1"/>
    <xf numFmtId="0" fontId="3" fillId="4" borderId="46" xfId="0" applyFont="1" applyFill="1" applyBorder="1" applyAlignment="1">
      <alignment horizontal="right"/>
    </xf>
    <xf numFmtId="0" fontId="11" fillId="4" borderId="46" xfId="0" applyFont="1" applyFill="1" applyBorder="1"/>
    <xf numFmtId="0" fontId="1" fillId="4" borderId="47" xfId="0" applyFont="1" applyFill="1" applyBorder="1" applyAlignment="1">
      <alignment horizontal="right"/>
    </xf>
    <xf numFmtId="0" fontId="1" fillId="4" borderId="46" xfId="0" applyFont="1" applyFill="1" applyBorder="1" applyAlignment="1">
      <alignment horizontal="right"/>
    </xf>
    <xf numFmtId="0" fontId="10" fillId="4" borderId="48" xfId="0" applyFont="1" applyFill="1" applyBorder="1" applyAlignment="1">
      <alignment wrapText="1"/>
    </xf>
    <xf numFmtId="0" fontId="10" fillId="4" borderId="21" xfId="0" applyFont="1" applyFill="1" applyBorder="1" applyAlignment="1">
      <alignment wrapText="1"/>
    </xf>
    <xf numFmtId="165" fontId="10" fillId="3" borderId="13" xfId="0" applyNumberFormat="1" applyFont="1" applyFill="1" applyBorder="1" applyAlignment="1">
      <alignment horizontal="center"/>
    </xf>
    <xf numFmtId="0" fontId="11" fillId="2" borderId="31" xfId="0" applyFont="1" applyFill="1" applyBorder="1" applyAlignment="1"/>
    <xf numFmtId="0" fontId="11" fillId="2" borderId="32" xfId="0" applyFont="1" applyFill="1" applyBorder="1" applyAlignment="1">
      <alignment horizontal="center"/>
    </xf>
    <xf numFmtId="0" fontId="11" fillId="5" borderId="20" xfId="0" applyFont="1" applyFill="1" applyBorder="1" applyAlignment="1">
      <alignment horizontal="center"/>
    </xf>
    <xf numFmtId="0" fontId="11" fillId="2" borderId="39"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3" fillId="2" borderId="32"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0" fontId="1" fillId="2" borderId="0" xfId="0" applyFont="1" applyFill="1" applyBorder="1" applyAlignment="1">
      <alignment horizontal="right"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219075" y="7223126"/>
          <a:ext cx="816292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In compliance with the Washington State Energy Independence Act (I-937), Mason County PUD No. 3 has determined its ten-year potential and biennial target of cost-effective and achievable conservation potential according to the 2011 and 2013 Conservation Potential Assessments (WAC 194-37-070(6)) developed in partnership with EES Consulting. </a:t>
          </a:r>
          <a:endParaRPr lang="en-US">
            <a:effectLst/>
          </a:endParaRPr>
        </a:p>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209550" y="9639301"/>
          <a:ext cx="817245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135850"/>
          <a:ext cx="12363450"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For the purposes of this report the following calculations where used:</a:t>
          </a:r>
        </a:p>
        <a:p>
          <a:r>
            <a:rPr lang="en-US"/>
            <a:t>-Incremental Rate per MWh =  Monthly Resource Cost per MWh -  BPA Published Tier II Short Term Monthy</a:t>
          </a:r>
          <a:r>
            <a:rPr lang="en-US" baseline="0"/>
            <a:t> </a:t>
          </a:r>
          <a:r>
            <a:rPr lang="en-US"/>
            <a:t>Price per MWh. </a:t>
          </a:r>
        </a:p>
        <a:p>
          <a:r>
            <a:rPr lang="en-US"/>
            <a:t>-Resource Incremental Amount Invested = Incremental Rate per MWh * Number of RECs retired from the resource.</a:t>
          </a:r>
        </a:p>
        <a:p>
          <a:r>
            <a:rPr lang="en-US"/>
            <a:t>-Total Incremental Amount Invested = Sum of Resource Incremental Amount Invested for all listed</a:t>
          </a:r>
          <a:r>
            <a:rPr lang="en-US" baseline="0"/>
            <a:t> qualifying renewable resources.</a:t>
          </a:r>
          <a:endParaRPr lang="en-US"/>
        </a:p>
        <a:p>
          <a:r>
            <a:rPr lang="en-US"/>
            <a:t>-Due</a:t>
          </a:r>
          <a:r>
            <a:rPr lang="en-US" baseline="0"/>
            <a:t> to the complexity and costs associated with extrapolating the BPA renewables costs from the BP14-15 rates, no incremental costs were assumed for the purposes of this report.  However, the District                      reserves the right to determine these costs in the future, in the event the District elects to invoke either financial path: RCW 19.285.050 or RCW 19.285.040(2)(d).</a:t>
          </a:r>
          <a:r>
            <a:rPr lang="en-US"/>
            <a:t> </a:t>
          </a:r>
        </a:p>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2802850"/>
          <a:ext cx="12420601" cy="31527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152901"/>
          <a:ext cx="12249149"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9217" name="Check Box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9218" name="Check Box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9219" name="Check Box 3" hidden="1">
              <a:extLst>
                <a:ext uri="{63B3BB69-23CF-44E3-9099-C40C66FF867C}">
                  <a14:compatExt spid="_x0000_s9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lennbl\AppData\Local\Microsoft\Windows\Temporary%20Internet%20Files\Content.Outlook\9Z8AXIKT\2014%20Renewab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lennbl\AppData\Local\Microsoft\Windows\Temporary%20Internet%20Files\Content.Outlook\9Z8AXIKT\EIA-2014%20Conserv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sheetName val="Renewables Report"/>
      <sheetName val="Data"/>
    </sheetNames>
    <sheetDataSet>
      <sheetData sheetId="0"/>
      <sheetData sheetId="1"/>
      <sheetData sheetId="2">
        <row r="29">
          <cell r="D29">
            <v>0</v>
          </cell>
          <cell r="E29">
            <v>0</v>
          </cell>
          <cell r="G29">
            <v>0</v>
          </cell>
          <cell r="H29">
            <v>0</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sheetName val="Renewables Report"/>
      <sheetName val="Data"/>
    </sheetNames>
    <sheetDataSet>
      <sheetData sheetId="0" refreshError="1"/>
      <sheetData sheetId="1" refreshError="1"/>
      <sheetData sheetId="2"/>
      <sheetData sheetId="3">
        <row r="8">
          <cell r="N8">
            <v>0</v>
          </cell>
        </row>
        <row r="13">
          <cell r="N13" t="str">
            <v/>
          </cell>
        </row>
        <row r="18">
          <cell r="C18">
            <v>0</v>
          </cell>
          <cell r="D18">
            <v>0</v>
          </cell>
          <cell r="E18">
            <v>0</v>
          </cell>
          <cell r="F18">
            <v>0</v>
          </cell>
          <cell r="G18">
            <v>0</v>
          </cell>
          <cell r="H18">
            <v>0</v>
          </cell>
          <cell r="I18">
            <v>0</v>
          </cell>
          <cell r="J18">
            <v>0</v>
          </cell>
          <cell r="K18">
            <v>0</v>
          </cell>
          <cell r="L18">
            <v>0</v>
          </cell>
        </row>
        <row r="19">
          <cell r="D19">
            <v>0</v>
          </cell>
          <cell r="E19">
            <v>0</v>
          </cell>
          <cell r="F19">
            <v>0</v>
          </cell>
          <cell r="G19">
            <v>0</v>
          </cell>
          <cell r="H19">
            <v>0</v>
          </cell>
          <cell r="I19">
            <v>0</v>
          </cell>
          <cell r="J19">
            <v>0</v>
          </cell>
          <cell r="K19">
            <v>0</v>
          </cell>
          <cell r="L19">
            <v>0</v>
          </cell>
          <cell r="M19">
            <v>0</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ustinh@masonpud3.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atts@masonpud3.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election activeCell="A12" sqref="A12"/>
    </sheetView>
  </sheetViews>
  <sheetFormatPr defaultRowHeight="15" x14ac:dyDescent="0.25"/>
  <cols>
    <col min="1" max="1" width="135.140625" customWidth="1"/>
    <col min="14" max="14" width="11.7109375" customWidth="1"/>
  </cols>
  <sheetData>
    <row r="1" spans="1:14" ht="18.75" x14ac:dyDescent="0.25">
      <c r="A1" s="115" t="s">
        <v>178</v>
      </c>
    </row>
    <row r="2" spans="1:14" x14ac:dyDescent="0.25">
      <c r="A2" s="134" t="s">
        <v>219</v>
      </c>
    </row>
    <row r="3" spans="1:14" x14ac:dyDescent="0.25">
      <c r="A3" s="116"/>
      <c r="N3" s="133"/>
    </row>
    <row r="4" spans="1:14" x14ac:dyDescent="0.25">
      <c r="A4" s="117" t="s">
        <v>179</v>
      </c>
    </row>
    <row r="5" spans="1:14" x14ac:dyDescent="0.25">
      <c r="A5" s="117" t="s">
        <v>180</v>
      </c>
      <c r="N5" t="e">
        <f>IF(REN_Load_2012+REN_Load_2013&gt;0,AVERAGE(REN_Load_2012,REN_Load_2013),0)</f>
        <v>#REF!</v>
      </c>
    </row>
    <row r="6" spans="1:14" x14ac:dyDescent="0.25">
      <c r="A6" s="118" t="s">
        <v>181</v>
      </c>
    </row>
    <row r="7" spans="1:14" x14ac:dyDescent="0.25">
      <c r="A7" s="116"/>
    </row>
    <row r="8" spans="1:14" ht="28.5" x14ac:dyDescent="0.25">
      <c r="A8" s="119" t="s">
        <v>182</v>
      </c>
    </row>
    <row r="9" spans="1:14" ht="28.5" x14ac:dyDescent="0.25">
      <c r="A9" s="119" t="s">
        <v>183</v>
      </c>
    </row>
    <row r="10" spans="1:14" x14ac:dyDescent="0.25">
      <c r="A10" s="119"/>
    </row>
    <row r="11" spans="1:14" x14ac:dyDescent="0.25">
      <c r="A11" s="120" t="s">
        <v>184</v>
      </c>
    </row>
    <row r="12" spans="1:14" x14ac:dyDescent="0.25">
      <c r="A12" s="116"/>
    </row>
    <row r="13" spans="1:14" ht="72.75" x14ac:dyDescent="0.25">
      <c r="A13" s="121" t="s">
        <v>185</v>
      </c>
    </row>
    <row r="14" spans="1:14" x14ac:dyDescent="0.25">
      <c r="A14" s="116"/>
    </row>
    <row r="15" spans="1:14" ht="29.25" x14ac:dyDescent="0.25">
      <c r="A15" s="118" t="s">
        <v>186</v>
      </c>
    </row>
    <row r="16" spans="1:14" x14ac:dyDescent="0.25">
      <c r="A16" s="121"/>
    </row>
    <row r="17" spans="1:1" x14ac:dyDescent="0.25">
      <c r="A17" s="116"/>
    </row>
    <row r="18" spans="1:1" ht="18.75" x14ac:dyDescent="0.25">
      <c r="A18" s="122" t="s">
        <v>187</v>
      </c>
    </row>
    <row r="19" spans="1:1" x14ac:dyDescent="0.25">
      <c r="A19" s="117" t="s">
        <v>188</v>
      </c>
    </row>
    <row r="20" spans="1:1" ht="28.5" x14ac:dyDescent="0.25">
      <c r="A20" s="123" t="s">
        <v>189</v>
      </c>
    </row>
    <row r="21" spans="1:1" x14ac:dyDescent="0.25">
      <c r="A21" s="124" t="s">
        <v>190</v>
      </c>
    </row>
    <row r="22" spans="1:1" x14ac:dyDescent="0.25">
      <c r="A22" s="116"/>
    </row>
    <row r="23" spans="1:1" x14ac:dyDescent="0.25">
      <c r="A23" s="125" t="s">
        <v>191</v>
      </c>
    </row>
    <row r="24" spans="1:1" ht="29.25" x14ac:dyDescent="0.25">
      <c r="A24" s="126" t="s">
        <v>192</v>
      </c>
    </row>
    <row r="25" spans="1:1" x14ac:dyDescent="0.25">
      <c r="A25" s="127" t="s">
        <v>193</v>
      </c>
    </row>
    <row r="26" spans="1:1" x14ac:dyDescent="0.25">
      <c r="A26" s="116"/>
    </row>
    <row r="27" spans="1:1" ht="43.5" x14ac:dyDescent="0.25">
      <c r="A27" s="117" t="s">
        <v>194</v>
      </c>
    </row>
    <row r="28" spans="1:1" x14ac:dyDescent="0.25">
      <c r="A28" s="128"/>
    </row>
    <row r="29" spans="1:1" ht="42.75" x14ac:dyDescent="0.25">
      <c r="A29" s="121" t="s">
        <v>195</v>
      </c>
    </row>
    <row r="30" spans="1:1" x14ac:dyDescent="0.25">
      <c r="A30" s="116"/>
    </row>
    <row r="31" spans="1:1" ht="43.5" x14ac:dyDescent="0.25">
      <c r="A31" s="118" t="s">
        <v>196</v>
      </c>
    </row>
    <row r="32" spans="1:1" x14ac:dyDescent="0.25">
      <c r="A32" s="116"/>
    </row>
    <row r="33" spans="1:1" ht="57.75" x14ac:dyDescent="0.25">
      <c r="A33" s="117" t="s">
        <v>197</v>
      </c>
    </row>
    <row r="34" spans="1:1" x14ac:dyDescent="0.25">
      <c r="A34" s="119"/>
    </row>
    <row r="35" spans="1:1" ht="28.5" x14ac:dyDescent="0.25">
      <c r="A35" s="119" t="s">
        <v>198</v>
      </c>
    </row>
    <row r="36" spans="1:1" x14ac:dyDescent="0.25">
      <c r="A36" s="126" t="s">
        <v>199</v>
      </c>
    </row>
    <row r="37" spans="1:1" x14ac:dyDescent="0.25">
      <c r="A37" s="126" t="s">
        <v>200</v>
      </c>
    </row>
    <row r="38" spans="1:1" x14ac:dyDescent="0.25">
      <c r="A38" s="129" t="s">
        <v>201</v>
      </c>
    </row>
    <row r="39" spans="1:1" x14ac:dyDescent="0.25">
      <c r="A39" s="116"/>
    </row>
    <row r="40" spans="1:1" ht="29.25" x14ac:dyDescent="0.25">
      <c r="A40" s="118" t="s">
        <v>202</v>
      </c>
    </row>
    <row r="41" spans="1:1" x14ac:dyDescent="0.25">
      <c r="A41" s="116"/>
    </row>
    <row r="42" spans="1:1" ht="18.75" x14ac:dyDescent="0.25">
      <c r="A42" s="122" t="s">
        <v>203</v>
      </c>
    </row>
    <row r="43" spans="1:1" ht="42.75" x14ac:dyDescent="0.25">
      <c r="A43" s="121" t="s">
        <v>204</v>
      </c>
    </row>
    <row r="44" spans="1:1" x14ac:dyDescent="0.25">
      <c r="A44" s="116"/>
    </row>
    <row r="45" spans="1:1" ht="43.5" x14ac:dyDescent="0.25">
      <c r="A45" s="118" t="s">
        <v>205</v>
      </c>
    </row>
    <row r="46" spans="1:1" x14ac:dyDescent="0.25">
      <c r="A46" s="116"/>
    </row>
    <row r="47" spans="1:1" ht="43.5" x14ac:dyDescent="0.25">
      <c r="A47" s="118" t="s">
        <v>206</v>
      </c>
    </row>
    <row r="48" spans="1:1" x14ac:dyDescent="0.25">
      <c r="A48" s="116"/>
    </row>
    <row r="49" spans="1:1" ht="43.5" x14ac:dyDescent="0.25">
      <c r="A49" s="118" t="s">
        <v>207</v>
      </c>
    </row>
    <row r="50" spans="1:1" x14ac:dyDescent="0.25">
      <c r="A50" s="116"/>
    </row>
    <row r="51" spans="1:1" x14ac:dyDescent="0.25">
      <c r="A51" s="117" t="s">
        <v>208</v>
      </c>
    </row>
    <row r="52" spans="1:1" ht="42.75" x14ac:dyDescent="0.25">
      <c r="A52" s="121" t="s">
        <v>209</v>
      </c>
    </row>
    <row r="53" spans="1:1" x14ac:dyDescent="0.25">
      <c r="A53" s="116"/>
    </row>
    <row r="54" spans="1:1" ht="57.75" x14ac:dyDescent="0.25">
      <c r="A54" s="130" t="s">
        <v>210</v>
      </c>
    </row>
    <row r="55" spans="1:1" x14ac:dyDescent="0.25">
      <c r="A55" s="116"/>
    </row>
    <row r="56" spans="1:1" ht="72" x14ac:dyDescent="0.25">
      <c r="A56" s="118" t="s">
        <v>211</v>
      </c>
    </row>
    <row r="57" spans="1:1" x14ac:dyDescent="0.25">
      <c r="A57" s="116"/>
    </row>
    <row r="58" spans="1:1" ht="57.75" x14ac:dyDescent="0.25">
      <c r="A58" s="118" t="s">
        <v>212</v>
      </c>
    </row>
    <row r="59" spans="1:1" x14ac:dyDescent="0.25">
      <c r="A59" s="116"/>
    </row>
    <row r="60" spans="1:1" x14ac:dyDescent="0.25">
      <c r="A60" s="117" t="s">
        <v>213</v>
      </c>
    </row>
    <row r="61" spans="1:1" ht="42.75" x14ac:dyDescent="0.25">
      <c r="A61" s="121" t="s">
        <v>214</v>
      </c>
    </row>
    <row r="62" spans="1:1" x14ac:dyDescent="0.25">
      <c r="A62" s="116"/>
    </row>
    <row r="63" spans="1:1" x14ac:dyDescent="0.25">
      <c r="A63" s="117" t="s">
        <v>215</v>
      </c>
    </row>
    <row r="64" spans="1:1" ht="42.75" x14ac:dyDescent="0.25">
      <c r="A64" s="121" t="s">
        <v>216</v>
      </c>
    </row>
    <row r="65" spans="1:1" x14ac:dyDescent="0.25">
      <c r="A65" s="116"/>
    </row>
    <row r="66" spans="1:1" ht="15.75" thickBot="1" x14ac:dyDescent="0.3">
      <c r="A66" s="131" t="s">
        <v>217</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11" t="s">
        <v>176</v>
      </c>
    </row>
    <row r="2" spans="1:14" ht="18.75" x14ac:dyDescent="0.25">
      <c r="A2" s="112"/>
    </row>
    <row r="3" spans="1:14" ht="57" x14ac:dyDescent="0.25">
      <c r="A3" s="113" t="s">
        <v>218</v>
      </c>
      <c r="N3" s="133"/>
    </row>
    <row r="4" spans="1:14" x14ac:dyDescent="0.25">
      <c r="A4" s="113"/>
    </row>
    <row r="5" spans="1:14" ht="29.25" thickBot="1" x14ac:dyDescent="0.3">
      <c r="A5" s="114" t="s">
        <v>177</v>
      </c>
      <c r="N5" t="e">
        <f>IF(REN_Load_2012+REN_Load_2013&gt;0,AVERAGE(REN_Load_2012,REN_Load_2013),0)</f>
        <v>#REF!</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46"/>
  <sheetViews>
    <sheetView zoomScaleNormal="100" workbookViewId="0">
      <selection activeCell="C5" sqref="C5:E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79" t="s">
        <v>77</v>
      </c>
    </row>
    <row r="2" spans="1:14" ht="15" customHeight="1" x14ac:dyDescent="0.2">
      <c r="B2" s="2"/>
    </row>
    <row r="3" spans="1:14" ht="14.25" customHeight="1" thickBot="1" x14ac:dyDescent="0.25">
      <c r="B3" s="3" t="s">
        <v>4</v>
      </c>
      <c r="C3" s="151" t="s">
        <v>220</v>
      </c>
      <c r="D3" s="151"/>
      <c r="E3" s="151"/>
      <c r="G3" s="152" t="s">
        <v>85</v>
      </c>
      <c r="H3" s="152"/>
      <c r="I3" s="152"/>
      <c r="J3" s="152"/>
      <c r="N3" s="132"/>
    </row>
    <row r="4" spans="1:14" ht="15" customHeight="1" x14ac:dyDescent="0.2">
      <c r="B4" s="4" t="s">
        <v>84</v>
      </c>
      <c r="C4" s="153">
        <v>41791</v>
      </c>
      <c r="D4" s="154"/>
      <c r="E4" s="154"/>
      <c r="F4" s="16"/>
      <c r="H4" s="99" t="s">
        <v>81</v>
      </c>
      <c r="I4" s="98"/>
      <c r="J4" s="99" t="s">
        <v>82</v>
      </c>
    </row>
    <row r="5" spans="1:14" ht="15" customHeight="1" x14ac:dyDescent="0.2">
      <c r="B5" s="5" t="s">
        <v>83</v>
      </c>
      <c r="C5" s="155" t="s">
        <v>221</v>
      </c>
      <c r="D5" s="156"/>
      <c r="E5" s="156"/>
      <c r="F5" s="7"/>
      <c r="H5" s="97" t="s">
        <v>80</v>
      </c>
      <c r="J5" s="97" t="s">
        <v>80</v>
      </c>
      <c r="N5" s="1">
        <f>IF(REN_Load_2012+REN_Load_2013&gt;0,AVERAGE(REN_Load_2012,REN_Load_2013),0)</f>
        <v>0</v>
      </c>
    </row>
    <row r="6" spans="1:14" ht="15" customHeight="1" x14ac:dyDescent="0.2">
      <c r="B6" s="5" t="s">
        <v>1</v>
      </c>
      <c r="C6" s="156" t="s">
        <v>222</v>
      </c>
      <c r="D6" s="156"/>
      <c r="E6" s="156"/>
      <c r="F6" s="7"/>
      <c r="G6" s="81" t="s">
        <v>66</v>
      </c>
      <c r="H6" s="82">
        <f>CON_Target_2012_2013</f>
        <v>10674</v>
      </c>
      <c r="I6" s="81" t="s">
        <v>66</v>
      </c>
      <c r="J6" s="83">
        <f>CON_Target_2014_2015</f>
        <v>5791</v>
      </c>
    </row>
    <row r="7" spans="1:14" ht="15" customHeight="1" x14ac:dyDescent="0.2">
      <c r="B7" s="5" t="s">
        <v>2</v>
      </c>
      <c r="C7" s="157" t="s">
        <v>223</v>
      </c>
      <c r="D7" s="158"/>
      <c r="E7" s="158"/>
      <c r="F7" s="7"/>
      <c r="G7" s="81" t="s">
        <v>67</v>
      </c>
      <c r="H7" s="84">
        <f>CON_2012_MWH+CON_2013_MWH</f>
        <v>19761.919999999998</v>
      </c>
    </row>
    <row r="8" spans="1:14" ht="15" customHeight="1" thickBot="1" x14ac:dyDescent="0.25">
      <c r="B8" s="5"/>
      <c r="C8" s="80"/>
      <c r="D8" s="7"/>
      <c r="E8" s="7"/>
      <c r="F8" s="7"/>
      <c r="G8" s="81" t="s">
        <v>68</v>
      </c>
      <c r="H8" s="85">
        <f>H6-H7</f>
        <v>-9087.9199999999983</v>
      </c>
    </row>
    <row r="9" spans="1:14" s="7" customFormat="1" ht="13.5" thickTop="1" x14ac:dyDescent="0.2">
      <c r="B9" s="164" t="s">
        <v>69</v>
      </c>
      <c r="C9" s="164"/>
      <c r="D9" s="164"/>
      <c r="E9" s="164"/>
      <c r="F9" s="165"/>
    </row>
    <row r="10" spans="1:14" s="7" customFormat="1" x14ac:dyDescent="0.2">
      <c r="B10" s="166" t="s">
        <v>36</v>
      </c>
      <c r="C10" s="150"/>
      <c r="D10" s="150" t="s">
        <v>72</v>
      </c>
      <c r="E10" s="150"/>
    </row>
    <row r="11" spans="1:14" ht="52.5" customHeight="1" x14ac:dyDescent="0.2">
      <c r="B11" s="86" t="s">
        <v>75</v>
      </c>
      <c r="C11" s="17" t="s">
        <v>51</v>
      </c>
      <c r="D11" s="17" t="s">
        <v>74</v>
      </c>
      <c r="E11" s="87" t="s">
        <v>73</v>
      </c>
    </row>
    <row r="12" spans="1:14" ht="15" customHeight="1" x14ac:dyDescent="0.2">
      <c r="B12" s="88">
        <v>57189</v>
      </c>
      <c r="C12" s="89">
        <v>10674</v>
      </c>
      <c r="D12" s="89">
        <v>28979</v>
      </c>
      <c r="E12" s="90">
        <v>5791</v>
      </c>
    </row>
    <row r="13" spans="1:14" ht="15" customHeight="1" thickBot="1" x14ac:dyDescent="0.25">
      <c r="B13" s="7"/>
      <c r="C13" s="7"/>
      <c r="D13" s="7"/>
      <c r="E13" s="7"/>
      <c r="F13" s="7"/>
      <c r="G13" s="7"/>
      <c r="H13" s="7"/>
    </row>
    <row r="14" spans="1:14" ht="13.5" thickTop="1" x14ac:dyDescent="0.2">
      <c r="B14" s="149" t="s">
        <v>3</v>
      </c>
      <c r="C14" s="149"/>
      <c r="D14" s="149"/>
      <c r="E14" s="149"/>
      <c r="F14" s="149"/>
      <c r="G14" s="149"/>
      <c r="H14" s="149"/>
    </row>
    <row r="15" spans="1:14" ht="15" customHeight="1" x14ac:dyDescent="0.2">
      <c r="A15" s="7"/>
      <c r="B15" s="18"/>
      <c r="D15" s="150" t="s">
        <v>49</v>
      </c>
      <c r="E15" s="150"/>
      <c r="G15" s="150" t="s">
        <v>71</v>
      </c>
      <c r="H15" s="150"/>
    </row>
    <row r="16" spans="1:14" ht="30.75" customHeight="1" x14ac:dyDescent="0.2">
      <c r="A16" s="7"/>
      <c r="C16" s="19" t="s">
        <v>43</v>
      </c>
      <c r="D16" s="17" t="s">
        <v>7</v>
      </c>
      <c r="E16" s="17" t="s">
        <v>8</v>
      </c>
      <c r="G16" s="17" t="s">
        <v>7</v>
      </c>
      <c r="H16" s="17" t="s">
        <v>8</v>
      </c>
    </row>
    <row r="17" spans="1:8" ht="15" customHeight="1" x14ac:dyDescent="0.2">
      <c r="A17" s="7"/>
      <c r="C17" s="34" t="s">
        <v>9</v>
      </c>
      <c r="D17" s="91">
        <v>1428.49</v>
      </c>
      <c r="E17" s="102">
        <v>394464</v>
      </c>
      <c r="G17" s="91">
        <v>1528</v>
      </c>
      <c r="H17" s="102">
        <v>489233</v>
      </c>
    </row>
    <row r="18" spans="1:8" ht="15" customHeight="1" x14ac:dyDescent="0.2">
      <c r="A18" s="7"/>
      <c r="C18" s="34" t="s">
        <v>10</v>
      </c>
      <c r="D18" s="91">
        <v>564.24</v>
      </c>
      <c r="E18" s="102">
        <v>89255</v>
      </c>
      <c r="G18" s="91">
        <v>2219</v>
      </c>
      <c r="H18" s="102">
        <v>413411</v>
      </c>
    </row>
    <row r="19" spans="1:8" ht="15" customHeight="1" x14ac:dyDescent="0.2">
      <c r="A19" s="7"/>
      <c r="C19" s="34" t="s">
        <v>11</v>
      </c>
      <c r="D19" s="91">
        <v>4379.1899999999996</v>
      </c>
      <c r="E19" s="102">
        <v>801053</v>
      </c>
      <c r="G19" s="91">
        <v>4839</v>
      </c>
      <c r="H19" s="102">
        <v>592594</v>
      </c>
    </row>
    <row r="20" spans="1:8" ht="15" customHeight="1" x14ac:dyDescent="0.2">
      <c r="A20" s="7"/>
      <c r="C20" s="34" t="s">
        <v>12</v>
      </c>
      <c r="D20" s="91"/>
      <c r="E20" s="102"/>
      <c r="G20" s="91"/>
      <c r="H20" s="102"/>
    </row>
    <row r="21" spans="1:8" ht="15" customHeight="1" x14ac:dyDescent="0.2">
      <c r="A21" s="7"/>
      <c r="C21" s="34" t="s">
        <v>38</v>
      </c>
      <c r="D21" s="91"/>
      <c r="E21" s="102"/>
      <c r="G21" s="91"/>
      <c r="H21" s="102"/>
    </row>
    <row r="22" spans="1:8" ht="15" customHeight="1" x14ac:dyDescent="0.2">
      <c r="A22" s="7"/>
      <c r="C22" s="35" t="s">
        <v>39</v>
      </c>
      <c r="D22" s="91"/>
      <c r="E22" s="102"/>
      <c r="G22" s="91"/>
      <c r="H22" s="102"/>
    </row>
    <row r="23" spans="1:8" ht="15" customHeight="1" x14ac:dyDescent="0.2">
      <c r="A23" s="7"/>
      <c r="C23" s="35" t="s">
        <v>5</v>
      </c>
      <c r="D23" s="92">
        <v>2487</v>
      </c>
      <c r="E23" s="102"/>
      <c r="G23" s="92">
        <v>2317</v>
      </c>
      <c r="H23" s="102"/>
    </row>
    <row r="24" spans="1:8" ht="15" customHeight="1" x14ac:dyDescent="0.2">
      <c r="A24" s="7"/>
      <c r="C24" s="93"/>
      <c r="D24" s="92"/>
      <c r="E24" s="102"/>
      <c r="G24" s="92"/>
      <c r="H24" s="102"/>
    </row>
    <row r="25" spans="1:8" ht="15" customHeight="1" x14ac:dyDescent="0.2">
      <c r="A25" s="7"/>
      <c r="C25" s="93"/>
      <c r="D25" s="92"/>
      <c r="E25" s="102"/>
      <c r="G25" s="92"/>
      <c r="H25" s="102"/>
    </row>
    <row r="26" spans="1:8" ht="30.75" customHeight="1" x14ac:dyDescent="0.2">
      <c r="A26" s="7"/>
      <c r="B26" s="159" t="s">
        <v>70</v>
      </c>
      <c r="C26" s="160"/>
      <c r="E26" s="103"/>
      <c r="H26" s="103"/>
    </row>
    <row r="27" spans="1:8" ht="15" customHeight="1" x14ac:dyDescent="0.2">
      <c r="A27" s="7"/>
      <c r="C27" s="94"/>
      <c r="D27" s="100"/>
      <c r="E27" s="102"/>
      <c r="G27" s="100"/>
      <c r="H27" s="102"/>
    </row>
    <row r="28" spans="1:8" ht="15" customHeight="1" x14ac:dyDescent="0.2">
      <c r="A28" s="7"/>
      <c r="C28" s="94"/>
      <c r="D28" s="101"/>
      <c r="E28" s="102"/>
      <c r="G28" s="101"/>
      <c r="H28" s="102"/>
    </row>
    <row r="29" spans="1:8" ht="15" customHeight="1" x14ac:dyDescent="0.2">
      <c r="C29" s="36" t="s">
        <v>6</v>
      </c>
      <c r="D29" s="33">
        <f>SUM(D17:D25)</f>
        <v>8858.92</v>
      </c>
      <c r="E29" s="104">
        <f>SUM(E17:E28)</f>
        <v>1284772</v>
      </c>
      <c r="G29" s="33">
        <f>SUM(G17:G25)</f>
        <v>10903</v>
      </c>
      <c r="H29" s="104">
        <f>SUM(H17:H28)</f>
        <v>1495238</v>
      </c>
    </row>
    <row r="30" spans="1:8" ht="15" customHeight="1" x14ac:dyDescent="0.2">
      <c r="B30" s="20"/>
      <c r="C30" s="21"/>
      <c r="D30" s="22"/>
      <c r="E30" s="21"/>
      <c r="F30" s="22"/>
    </row>
    <row r="31" spans="1:8" s="7" customFormat="1" ht="15" customHeight="1" x14ac:dyDescent="0.2">
      <c r="B31" s="3" t="s">
        <v>4</v>
      </c>
      <c r="C31" s="161" t="str">
        <f>CON_Utility_Name</f>
        <v xml:space="preserve">Mason County PUD No. 3 </v>
      </c>
      <c r="D31" s="161"/>
      <c r="E31" s="161"/>
      <c r="F31" s="161"/>
    </row>
    <row r="32" spans="1:8" s="7" customFormat="1" ht="21" customHeight="1" x14ac:dyDescent="0.2">
      <c r="B32" s="3"/>
      <c r="C32" s="6"/>
      <c r="D32" s="6"/>
      <c r="E32" s="6"/>
      <c r="F32" s="6"/>
    </row>
    <row r="33" spans="2:6" s="23" customFormat="1" x14ac:dyDescent="0.25">
      <c r="B33" s="162" t="s">
        <v>76</v>
      </c>
      <c r="C33" s="163"/>
      <c r="D33" s="163"/>
      <c r="E33" s="163"/>
      <c r="F33" s="163"/>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37</v>
      </c>
    </row>
  </sheetData>
  <mergeCells count="16">
    <mergeCell ref="B26:C26"/>
    <mergeCell ref="C31:F31"/>
    <mergeCell ref="B33:F33"/>
    <mergeCell ref="B9:F9"/>
    <mergeCell ref="B10:C10"/>
    <mergeCell ref="D10:E10"/>
    <mergeCell ref="B14:F14"/>
    <mergeCell ref="G14:H14"/>
    <mergeCell ref="D15:E15"/>
    <mergeCell ref="G15:H15"/>
    <mergeCell ref="C3:E3"/>
    <mergeCell ref="G3:J3"/>
    <mergeCell ref="C4:E4"/>
    <mergeCell ref="C5:E5"/>
    <mergeCell ref="C6:E6"/>
    <mergeCell ref="C7:E7"/>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AH136"/>
  <sheetViews>
    <sheetView showGridLines="0" tabSelected="1" view="pageBreakPreview" topLeftCell="B1" zoomScaleNormal="100" zoomScaleSheetLayoutView="100" workbookViewId="0">
      <selection activeCell="N3" sqref="N3:N4"/>
    </sheetView>
  </sheetViews>
  <sheetFormatPr defaultColWidth="9.140625" defaultRowHeight="12.75" x14ac:dyDescent="0.2"/>
  <cols>
    <col min="1" max="1" width="2.7109375" style="1" customWidth="1"/>
    <col min="2" max="2" width="46.42578125" style="1" customWidth="1"/>
    <col min="3" max="3" width="10.28515625" style="1" customWidth="1"/>
    <col min="4" max="4" width="10.140625" style="1" customWidth="1"/>
    <col min="5" max="5" width="12" style="1" customWidth="1"/>
    <col min="6"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0" t="s">
        <v>60</v>
      </c>
      <c r="C1" s="70"/>
      <c r="D1" s="70"/>
      <c r="AC1" s="68" t="s">
        <v>52</v>
      </c>
      <c r="AH1" s="65"/>
    </row>
    <row r="2" spans="2:34" ht="14.25" x14ac:dyDescent="0.2">
      <c r="B2" s="135"/>
      <c r="C2" s="135"/>
      <c r="D2" s="135"/>
      <c r="I2" s="174" t="s">
        <v>48</v>
      </c>
      <c r="J2" s="175"/>
      <c r="K2" s="175"/>
      <c r="L2" s="175"/>
      <c r="M2" s="175"/>
      <c r="N2" s="176"/>
      <c r="AC2" s="69" t="s">
        <v>53</v>
      </c>
      <c r="AH2" s="63"/>
    </row>
    <row r="3" spans="2:34" ht="15" customHeight="1" x14ac:dyDescent="0.25">
      <c r="B3" s="3" t="s">
        <v>4</v>
      </c>
      <c r="C3" s="177" t="s">
        <v>224</v>
      </c>
      <c r="D3" s="177"/>
      <c r="E3" s="177"/>
      <c r="I3" s="74"/>
      <c r="J3" s="7"/>
      <c r="K3" s="7"/>
      <c r="L3" s="7"/>
      <c r="M3" s="73" t="s">
        <v>44</v>
      </c>
      <c r="N3" s="138">
        <v>663537</v>
      </c>
      <c r="AC3" s="69" t="s">
        <v>54</v>
      </c>
      <c r="AH3" s="63"/>
    </row>
    <row r="4" spans="2:34" ht="15" customHeight="1" thickBot="1" x14ac:dyDescent="0.3">
      <c r="B4" s="4" t="s">
        <v>84</v>
      </c>
      <c r="C4" s="178">
        <v>41791</v>
      </c>
      <c r="D4" s="178"/>
      <c r="E4" s="178"/>
      <c r="I4" s="74"/>
      <c r="J4" s="7"/>
      <c r="K4" s="7"/>
      <c r="L4" s="7"/>
      <c r="M4" s="73" t="s">
        <v>57</v>
      </c>
      <c r="N4" s="138">
        <v>656363</v>
      </c>
      <c r="AC4" s="69" t="s">
        <v>55</v>
      </c>
      <c r="AH4" s="64"/>
    </row>
    <row r="5" spans="2:34" ht="15" customHeight="1" x14ac:dyDescent="0.2">
      <c r="B5" s="5" t="s">
        <v>0</v>
      </c>
      <c r="C5" s="179" t="s">
        <v>225</v>
      </c>
      <c r="D5" s="179"/>
      <c r="E5" s="179"/>
      <c r="I5" s="74"/>
      <c r="J5" s="7"/>
      <c r="K5" s="7"/>
      <c r="L5" s="7"/>
      <c r="M5" s="73" t="s">
        <v>58</v>
      </c>
      <c r="N5" s="139">
        <f>IF(REN_Load_2012+REN_Load_2013&gt;0,AVERAGE(REN_Load_2012,REN_Load_2013),0)</f>
        <v>659950</v>
      </c>
    </row>
    <row r="6" spans="2:34" ht="15" customHeight="1" x14ac:dyDescent="0.2">
      <c r="B6" s="5" t="s">
        <v>1</v>
      </c>
      <c r="C6" s="179" t="s">
        <v>226</v>
      </c>
      <c r="D6" s="179"/>
      <c r="E6" s="179"/>
      <c r="I6" s="74"/>
      <c r="J6" s="7"/>
      <c r="K6" s="7"/>
      <c r="L6" s="7"/>
      <c r="M6" s="73" t="s">
        <v>59</v>
      </c>
      <c r="N6" s="75">
        <v>0.03</v>
      </c>
    </row>
    <row r="7" spans="2:34" ht="15" customHeight="1" x14ac:dyDescent="0.2">
      <c r="B7" s="5" t="s">
        <v>2</v>
      </c>
      <c r="C7" s="183" t="s">
        <v>227</v>
      </c>
      <c r="D7" s="184"/>
      <c r="E7" s="184"/>
      <c r="I7" s="96"/>
      <c r="J7" s="7"/>
      <c r="K7" s="7"/>
      <c r="L7" s="7"/>
      <c r="M7" s="73" t="s">
        <v>65</v>
      </c>
      <c r="N7" s="139">
        <f>N5*N6</f>
        <v>19798.5</v>
      </c>
    </row>
    <row r="8" spans="2:34" ht="15" customHeight="1" x14ac:dyDescent="0.2">
      <c r="B8" s="5"/>
      <c r="C8" s="5"/>
      <c r="D8" s="5"/>
      <c r="E8" s="62"/>
      <c r="I8" s="76"/>
      <c r="J8" s="77"/>
      <c r="K8" s="77"/>
      <c r="L8" s="77"/>
      <c r="M8" s="78" t="s">
        <v>56</v>
      </c>
      <c r="N8" s="148">
        <f>SUM(C20:M20)</f>
        <v>19799</v>
      </c>
    </row>
    <row r="9" spans="2:34" ht="15" customHeight="1" x14ac:dyDescent="0.2">
      <c r="B9" s="3" t="s">
        <v>61</v>
      </c>
      <c r="C9" s="136"/>
      <c r="D9" s="136"/>
    </row>
    <row r="10" spans="2:34" ht="15" customHeight="1" x14ac:dyDescent="0.2">
      <c r="C10" s="135"/>
      <c r="D10" s="135"/>
      <c r="G10" s="185" t="s">
        <v>168</v>
      </c>
      <c r="H10" s="186"/>
      <c r="I10" s="186"/>
      <c r="J10" s="186"/>
      <c r="K10" s="186"/>
      <c r="L10" s="186"/>
      <c r="M10" s="186"/>
      <c r="N10" s="187"/>
    </row>
    <row r="11" spans="2:34" s="66" customFormat="1" ht="14.25" customHeight="1" x14ac:dyDescent="0.25">
      <c r="B11" s="1"/>
      <c r="C11" s="67"/>
      <c r="D11" s="67"/>
      <c r="G11" s="74" t="s">
        <v>167</v>
      </c>
      <c r="H11" s="107"/>
      <c r="I11" s="107"/>
      <c r="J11" s="107"/>
      <c r="K11" s="107"/>
      <c r="L11" s="107"/>
      <c r="M11" s="7"/>
      <c r="N11" s="109">
        <v>1066855</v>
      </c>
    </row>
    <row r="12" spans="2:34" x14ac:dyDescent="0.2">
      <c r="C12" s="135"/>
      <c r="D12" s="135"/>
      <c r="G12" s="74" t="s">
        <v>175</v>
      </c>
      <c r="H12" s="105"/>
      <c r="I12" s="105"/>
      <c r="J12" s="105"/>
      <c r="K12" s="105"/>
      <c r="L12" s="7"/>
      <c r="M12" s="7"/>
      <c r="N12" s="109">
        <v>45956156</v>
      </c>
    </row>
    <row r="13" spans="2:34" x14ac:dyDescent="0.2">
      <c r="G13" s="108" t="s">
        <v>169</v>
      </c>
      <c r="H13" s="106"/>
      <c r="I13" s="106"/>
      <c r="J13" s="106"/>
      <c r="K13" s="106"/>
      <c r="L13" s="77"/>
      <c r="M13" s="77"/>
      <c r="N13" s="110">
        <f>IF(REN_RetailRevenueRequirement_2014&gt;0,REN_Expenditure_Amount_2014/REN_RetailRevenueRequirement_2014,"")</f>
        <v>2.321462656711323E-2</v>
      </c>
    </row>
    <row r="14" spans="2:34" ht="17.45" customHeight="1" x14ac:dyDescent="0.2">
      <c r="I14" s="188"/>
      <c r="J14" s="188"/>
      <c r="K14" s="188"/>
      <c r="L14" s="188"/>
      <c r="M14" s="188"/>
      <c r="N14" s="59"/>
      <c r="O14" s="24"/>
      <c r="P14" s="24"/>
    </row>
    <row r="15" spans="2:34" ht="16.899999999999999" customHeight="1" x14ac:dyDescent="0.2">
      <c r="B15" s="5"/>
      <c r="C15" s="32" t="s">
        <v>14</v>
      </c>
      <c r="D15" s="30" t="s">
        <v>15</v>
      </c>
      <c r="E15" s="30" t="s">
        <v>16</v>
      </c>
      <c r="F15" s="30" t="s">
        <v>17</v>
      </c>
      <c r="G15" s="30" t="s">
        <v>18</v>
      </c>
      <c r="H15" s="30" t="s">
        <v>19</v>
      </c>
      <c r="I15" s="30" t="s">
        <v>20</v>
      </c>
      <c r="J15" s="30" t="s">
        <v>21</v>
      </c>
      <c r="K15" s="31" t="s">
        <v>22</v>
      </c>
      <c r="L15" s="31" t="s">
        <v>86</v>
      </c>
      <c r="M15" s="31" t="s">
        <v>87</v>
      </c>
      <c r="N15" s="59"/>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59"/>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59"/>
      <c r="O17" s="24"/>
      <c r="P17" s="24"/>
    </row>
    <row r="18" spans="2:34" ht="15" customHeight="1" x14ac:dyDescent="0.2">
      <c r="B18" s="4" t="s">
        <v>45</v>
      </c>
      <c r="C18" s="12">
        <f t="shared" ref="C18:L18" si="0">SUM(E44:E64)</f>
        <v>0</v>
      </c>
      <c r="D18" s="12">
        <f t="shared" si="0"/>
        <v>19354</v>
      </c>
      <c r="E18" s="12">
        <f t="shared" si="0"/>
        <v>0</v>
      </c>
      <c r="F18" s="12">
        <f t="shared" si="0"/>
        <v>0</v>
      </c>
      <c r="G18" s="12">
        <f t="shared" si="0"/>
        <v>0</v>
      </c>
      <c r="H18" s="12">
        <f t="shared" si="0"/>
        <v>0</v>
      </c>
      <c r="I18" s="12">
        <f t="shared" si="0"/>
        <v>0</v>
      </c>
      <c r="J18" s="12">
        <f t="shared" si="0"/>
        <v>0</v>
      </c>
      <c r="K18" s="12">
        <f t="shared" si="0"/>
        <v>0</v>
      </c>
      <c r="L18" s="12">
        <f t="shared" si="0"/>
        <v>0</v>
      </c>
      <c r="M18" s="95"/>
      <c r="N18" s="60"/>
      <c r="O18" s="137"/>
      <c r="P18" s="137"/>
    </row>
    <row r="19" spans="2:34" ht="16.5" customHeight="1" x14ac:dyDescent="0.2">
      <c r="B19" s="4" t="s">
        <v>46</v>
      </c>
      <c r="C19" s="95"/>
      <c r="D19" s="13">
        <f t="shared" ref="D19:M19" si="1">SUM(F72:F96)</f>
        <v>0</v>
      </c>
      <c r="E19" s="13">
        <f t="shared" si="1"/>
        <v>0</v>
      </c>
      <c r="F19" s="13">
        <f t="shared" si="1"/>
        <v>0</v>
      </c>
      <c r="G19" s="13">
        <f t="shared" si="1"/>
        <v>0</v>
      </c>
      <c r="H19" s="13">
        <f t="shared" si="1"/>
        <v>0</v>
      </c>
      <c r="I19" s="13">
        <f t="shared" si="1"/>
        <v>0</v>
      </c>
      <c r="J19" s="13">
        <f t="shared" si="1"/>
        <v>0</v>
      </c>
      <c r="K19" s="13">
        <f t="shared" si="1"/>
        <v>0</v>
      </c>
      <c r="L19" s="13">
        <f t="shared" si="1"/>
        <v>0</v>
      </c>
      <c r="M19" s="13">
        <f t="shared" si="1"/>
        <v>445</v>
      </c>
      <c r="N19" s="61"/>
      <c r="O19" s="24"/>
      <c r="P19" s="24"/>
    </row>
    <row r="20" spans="2:34" ht="16.5" customHeight="1" x14ac:dyDescent="0.2">
      <c r="B20" s="5" t="s">
        <v>47</v>
      </c>
      <c r="C20" s="14">
        <f t="shared" ref="C20:L20" si="2">C18+C19</f>
        <v>0</v>
      </c>
      <c r="D20" s="14">
        <f t="shared" si="2"/>
        <v>19354</v>
      </c>
      <c r="E20" s="14">
        <f t="shared" si="2"/>
        <v>0</v>
      </c>
      <c r="F20" s="14">
        <f t="shared" si="2"/>
        <v>0</v>
      </c>
      <c r="G20" s="14">
        <f t="shared" si="2"/>
        <v>0</v>
      </c>
      <c r="H20" s="14">
        <f t="shared" si="2"/>
        <v>0</v>
      </c>
      <c r="I20" s="14">
        <f t="shared" si="2"/>
        <v>0</v>
      </c>
      <c r="J20" s="14">
        <f t="shared" si="2"/>
        <v>0</v>
      </c>
      <c r="K20" s="14">
        <f t="shared" si="2"/>
        <v>0</v>
      </c>
      <c r="L20" s="14">
        <f t="shared" si="2"/>
        <v>0</v>
      </c>
      <c r="M20" s="13">
        <f>M19</f>
        <v>445</v>
      </c>
      <c r="N20" s="61"/>
      <c r="O20" s="24"/>
      <c r="P20" s="24"/>
    </row>
    <row r="21" spans="2:34" ht="16.5" customHeight="1" x14ac:dyDescent="0.2">
      <c r="L21" s="7"/>
      <c r="M21" s="4"/>
      <c r="N21" s="61"/>
      <c r="O21" s="24"/>
      <c r="P21" s="24"/>
    </row>
    <row r="22" spans="2:34" ht="21.75" customHeight="1" x14ac:dyDescent="0.2">
      <c r="L22" s="7"/>
      <c r="M22" s="4"/>
      <c r="N22" s="61"/>
      <c r="O22" s="24"/>
      <c r="P22" s="24"/>
    </row>
    <row r="23" spans="2:34" ht="15" customHeight="1" x14ac:dyDescent="0.2">
      <c r="B23" s="73"/>
      <c r="C23" s="73"/>
      <c r="D23" s="73"/>
      <c r="E23" s="73"/>
      <c r="F23" s="73"/>
      <c r="G23" s="73"/>
      <c r="I23" s="7"/>
      <c r="J23" s="7"/>
      <c r="K23" s="7"/>
      <c r="L23" s="7"/>
      <c r="M23" s="4"/>
      <c r="N23" s="61"/>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67" t="str">
        <f>C3</f>
        <v>Mason County PUD No.3</v>
      </c>
      <c r="G36" s="168"/>
      <c r="H36" s="169"/>
    </row>
    <row r="37" spans="2:34" ht="15" customHeight="1" x14ac:dyDescent="0.2">
      <c r="E37" s="10" t="s">
        <v>13</v>
      </c>
      <c r="F37" s="170">
        <v>2014</v>
      </c>
      <c r="G37" s="171"/>
      <c r="H37" s="172"/>
    </row>
    <row r="38" spans="2:34" ht="15" customHeight="1" x14ac:dyDescent="0.2">
      <c r="E38" s="10"/>
      <c r="F38" s="136"/>
      <c r="G38" s="9"/>
      <c r="H38" s="9"/>
    </row>
    <row r="39" spans="2:34" s="28" customFormat="1" ht="27" customHeight="1" x14ac:dyDescent="0.25">
      <c r="B39" s="180" t="s">
        <v>173</v>
      </c>
      <c r="C39" s="181"/>
      <c r="D39" s="181"/>
      <c r="E39" s="182"/>
      <c r="F39" s="182"/>
      <c r="G39" s="182"/>
      <c r="H39" s="29"/>
      <c r="AH39" s="1"/>
    </row>
    <row r="40" spans="2:34" ht="15" customHeight="1" x14ac:dyDescent="0.2">
      <c r="E40" s="15"/>
      <c r="F40" s="15"/>
      <c r="G40" s="15"/>
      <c r="H40" s="15"/>
      <c r="I40" s="15"/>
      <c r="J40" s="15"/>
      <c r="K40" s="15"/>
      <c r="L40" s="15"/>
      <c r="M40" s="15"/>
      <c r="N40" s="15"/>
      <c r="P40" s="15"/>
      <c r="Q40" s="15"/>
      <c r="R40" s="15"/>
      <c r="S40" s="15"/>
      <c r="AH40" s="28"/>
    </row>
    <row r="41" spans="2:34" s="7" customFormat="1" ht="12.75" customHeight="1" x14ac:dyDescent="0.2">
      <c r="E41" s="32" t="s">
        <v>14</v>
      </c>
      <c r="F41" s="30" t="s">
        <v>15</v>
      </c>
      <c r="G41" s="30" t="s">
        <v>16</v>
      </c>
      <c r="H41" s="30" t="s">
        <v>17</v>
      </c>
      <c r="I41" s="30" t="s">
        <v>18</v>
      </c>
      <c r="J41" s="30" t="s">
        <v>19</v>
      </c>
      <c r="K41" s="30" t="s">
        <v>20</v>
      </c>
      <c r="L41" s="30" t="s">
        <v>21</v>
      </c>
      <c r="M41" s="31" t="s">
        <v>22</v>
      </c>
      <c r="N41" s="31"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1" t="s">
        <v>35</v>
      </c>
      <c r="C43" s="173" t="s">
        <v>62</v>
      </c>
      <c r="D43" s="173"/>
      <c r="E43" s="25" t="s">
        <v>7</v>
      </c>
      <c r="F43" s="25" t="s">
        <v>7</v>
      </c>
      <c r="G43" s="25" t="s">
        <v>7</v>
      </c>
      <c r="H43" s="25" t="s">
        <v>7</v>
      </c>
      <c r="I43" s="25" t="s">
        <v>7</v>
      </c>
      <c r="J43" s="25" t="s">
        <v>7</v>
      </c>
      <c r="K43" s="25" t="s">
        <v>7</v>
      </c>
      <c r="L43" s="25" t="s">
        <v>7</v>
      </c>
      <c r="M43" s="25" t="s">
        <v>7</v>
      </c>
      <c r="N43" s="25" t="s">
        <v>64</v>
      </c>
      <c r="AH43" s="11"/>
    </row>
    <row r="44" spans="2:34" ht="15" customHeight="1" x14ac:dyDescent="0.2">
      <c r="B44" s="140" t="s">
        <v>228</v>
      </c>
      <c r="C44" s="42" t="s">
        <v>229</v>
      </c>
      <c r="D44" s="42"/>
      <c r="E44" s="46"/>
      <c r="F44" s="47">
        <v>8542</v>
      </c>
      <c r="G44" s="47"/>
      <c r="H44" s="47"/>
      <c r="I44" s="47"/>
      <c r="J44" s="47"/>
      <c r="K44" s="47"/>
      <c r="L44" s="47"/>
      <c r="M44" s="47"/>
      <c r="N44" s="47"/>
    </row>
    <row r="45" spans="2:34" ht="15" customHeight="1" x14ac:dyDescent="0.2">
      <c r="B45" s="72" t="s">
        <v>230</v>
      </c>
      <c r="C45" s="43" t="s">
        <v>231</v>
      </c>
      <c r="D45" s="43"/>
      <c r="E45" s="49"/>
      <c r="F45" s="50">
        <v>306</v>
      </c>
      <c r="G45" s="50"/>
      <c r="H45" s="50"/>
      <c r="I45" s="50"/>
      <c r="J45" s="50"/>
      <c r="K45" s="50"/>
      <c r="L45" s="50"/>
      <c r="M45" s="50"/>
      <c r="N45" s="50"/>
    </row>
    <row r="46" spans="2:34" ht="15" customHeight="1" x14ac:dyDescent="0.2">
      <c r="B46" s="140" t="s">
        <v>232</v>
      </c>
      <c r="C46" s="43" t="s">
        <v>233</v>
      </c>
      <c r="D46" s="43"/>
      <c r="E46" s="49"/>
      <c r="F46" s="50">
        <v>457</v>
      </c>
      <c r="G46" s="50"/>
      <c r="H46" s="50"/>
      <c r="I46" s="50"/>
      <c r="J46" s="50"/>
      <c r="K46" s="50"/>
      <c r="L46" s="50"/>
      <c r="M46" s="50"/>
      <c r="N46" s="50"/>
    </row>
    <row r="47" spans="2:34" ht="15" customHeight="1" x14ac:dyDescent="0.2">
      <c r="B47" s="140" t="s">
        <v>234</v>
      </c>
      <c r="C47" s="44" t="s">
        <v>235</v>
      </c>
      <c r="D47" s="44"/>
      <c r="E47" s="49"/>
      <c r="F47" s="50">
        <v>1588</v>
      </c>
      <c r="G47" s="50"/>
      <c r="H47" s="50"/>
      <c r="I47" s="50"/>
      <c r="J47" s="50"/>
      <c r="K47" s="50"/>
      <c r="L47" s="50"/>
      <c r="M47" s="50"/>
      <c r="N47" s="50"/>
    </row>
    <row r="48" spans="2:34" ht="15" customHeight="1" x14ac:dyDescent="0.2">
      <c r="B48" s="140" t="s">
        <v>236</v>
      </c>
      <c r="C48" s="141" t="s">
        <v>237</v>
      </c>
      <c r="D48" s="142"/>
      <c r="E48" s="49"/>
      <c r="F48" s="50">
        <v>512</v>
      </c>
      <c r="G48" s="50"/>
      <c r="H48" s="50"/>
      <c r="I48" s="50"/>
      <c r="J48" s="50"/>
      <c r="K48" s="50"/>
      <c r="L48" s="50"/>
      <c r="M48" s="50"/>
      <c r="N48" s="50"/>
    </row>
    <row r="49" spans="2:14" ht="15" customHeight="1" x14ac:dyDescent="0.2">
      <c r="B49" s="140" t="s">
        <v>238</v>
      </c>
      <c r="C49" s="141" t="s">
        <v>239</v>
      </c>
      <c r="D49" s="143"/>
      <c r="E49" s="49"/>
      <c r="F49" s="50">
        <v>1131</v>
      </c>
      <c r="G49" s="50"/>
      <c r="H49" s="50"/>
      <c r="I49" s="50"/>
      <c r="J49" s="50"/>
      <c r="K49" s="50"/>
      <c r="L49" s="50"/>
      <c r="M49" s="50"/>
      <c r="N49" s="50"/>
    </row>
    <row r="50" spans="2:14" ht="15" customHeight="1" x14ac:dyDescent="0.2">
      <c r="B50" s="140" t="s">
        <v>240</v>
      </c>
      <c r="C50" s="141" t="s">
        <v>241</v>
      </c>
      <c r="D50" s="143"/>
      <c r="E50" s="49"/>
      <c r="F50" s="50">
        <v>4446</v>
      </c>
      <c r="G50" s="50"/>
      <c r="H50" s="50"/>
      <c r="I50" s="50"/>
      <c r="J50" s="50"/>
      <c r="K50" s="50"/>
      <c r="L50" s="50"/>
      <c r="M50" s="50"/>
      <c r="N50" s="50"/>
    </row>
    <row r="51" spans="2:14" ht="15" customHeight="1" x14ac:dyDescent="0.2">
      <c r="B51" s="140" t="s">
        <v>242</v>
      </c>
      <c r="C51" s="141" t="s">
        <v>243</v>
      </c>
      <c r="D51" s="143"/>
      <c r="E51" s="49"/>
      <c r="F51" s="50">
        <v>2372</v>
      </c>
      <c r="G51" s="50"/>
      <c r="H51" s="50"/>
      <c r="I51" s="50"/>
      <c r="J51" s="50"/>
      <c r="K51" s="50"/>
      <c r="L51" s="50"/>
      <c r="M51" s="50"/>
      <c r="N51" s="50"/>
    </row>
    <row r="52" spans="2:14" ht="15" customHeight="1" x14ac:dyDescent="0.2">
      <c r="B52" s="39"/>
      <c r="C52" s="37"/>
      <c r="D52" s="37"/>
      <c r="E52" s="49"/>
      <c r="F52" s="50"/>
      <c r="G52" s="50"/>
      <c r="H52" s="50"/>
      <c r="I52" s="50"/>
      <c r="J52" s="50"/>
      <c r="K52" s="50"/>
      <c r="L52" s="50"/>
      <c r="M52" s="50"/>
      <c r="N52" s="50"/>
    </row>
    <row r="53" spans="2:14" ht="15" customHeight="1" x14ac:dyDescent="0.2">
      <c r="B53" s="39"/>
      <c r="C53" s="37"/>
      <c r="D53" s="37"/>
      <c r="E53" s="49"/>
      <c r="F53" s="50"/>
      <c r="G53" s="50"/>
      <c r="H53" s="50"/>
      <c r="I53" s="50"/>
      <c r="J53" s="50"/>
      <c r="K53" s="50"/>
      <c r="L53" s="50"/>
      <c r="M53" s="50"/>
      <c r="N53" s="50"/>
    </row>
    <row r="54" spans="2:14" ht="15" customHeight="1" x14ac:dyDescent="0.2">
      <c r="B54" s="39"/>
      <c r="C54" s="37"/>
      <c r="D54" s="37"/>
      <c r="E54" s="49"/>
      <c r="F54" s="50"/>
      <c r="G54" s="50"/>
      <c r="H54" s="50"/>
      <c r="I54" s="50"/>
      <c r="J54" s="50"/>
      <c r="K54" s="50"/>
      <c r="L54" s="50"/>
      <c r="M54" s="50"/>
      <c r="N54" s="50"/>
    </row>
    <row r="55" spans="2:14" ht="15" customHeight="1" x14ac:dyDescent="0.2">
      <c r="B55" s="39"/>
      <c r="C55" s="37"/>
      <c r="D55" s="37"/>
      <c r="E55" s="49"/>
      <c r="F55" s="50"/>
      <c r="G55" s="50"/>
      <c r="H55" s="50"/>
      <c r="I55" s="50"/>
      <c r="J55" s="50"/>
      <c r="K55" s="50"/>
      <c r="L55" s="50"/>
      <c r="M55" s="50"/>
      <c r="N55" s="50"/>
    </row>
    <row r="56" spans="2:14" ht="15" customHeight="1" x14ac:dyDescent="0.2">
      <c r="B56" s="39"/>
      <c r="C56" s="37"/>
      <c r="D56" s="37"/>
      <c r="E56" s="49"/>
      <c r="F56" s="50"/>
      <c r="G56" s="50"/>
      <c r="H56" s="50"/>
      <c r="I56" s="50"/>
      <c r="J56" s="50"/>
      <c r="K56" s="50"/>
      <c r="L56" s="50"/>
      <c r="M56" s="50"/>
      <c r="N56" s="50"/>
    </row>
    <row r="57" spans="2:14" ht="15" customHeight="1" x14ac:dyDescent="0.2">
      <c r="B57" s="39"/>
      <c r="C57" s="37"/>
      <c r="D57" s="37"/>
      <c r="E57" s="49"/>
      <c r="F57" s="50"/>
      <c r="G57" s="50"/>
      <c r="H57" s="50"/>
      <c r="I57" s="50"/>
      <c r="J57" s="50"/>
      <c r="K57" s="50"/>
      <c r="L57" s="50"/>
      <c r="M57" s="50"/>
      <c r="N57" s="50"/>
    </row>
    <row r="58" spans="2:14" ht="15" customHeight="1" x14ac:dyDescent="0.2">
      <c r="B58" s="39"/>
      <c r="C58" s="37"/>
      <c r="D58" s="37"/>
      <c r="E58" s="49"/>
      <c r="F58" s="50"/>
      <c r="G58" s="50"/>
      <c r="H58" s="50"/>
      <c r="I58" s="50"/>
      <c r="J58" s="50"/>
      <c r="K58" s="50"/>
      <c r="L58" s="50"/>
      <c r="M58" s="50"/>
      <c r="N58" s="50"/>
    </row>
    <row r="59" spans="2:14" ht="15" customHeight="1" x14ac:dyDescent="0.2">
      <c r="B59" s="39"/>
      <c r="C59" s="37"/>
      <c r="D59" s="37"/>
      <c r="E59" s="49"/>
      <c r="F59" s="50"/>
      <c r="G59" s="50"/>
      <c r="H59" s="50"/>
      <c r="I59" s="50"/>
      <c r="J59" s="50"/>
      <c r="K59" s="50"/>
      <c r="L59" s="50"/>
      <c r="M59" s="50"/>
      <c r="N59" s="50"/>
    </row>
    <row r="60" spans="2:14" ht="15" customHeight="1" x14ac:dyDescent="0.2">
      <c r="B60" s="39"/>
      <c r="C60" s="37"/>
      <c r="D60" s="37"/>
      <c r="E60" s="49"/>
      <c r="F60" s="50"/>
      <c r="G60" s="50"/>
      <c r="H60" s="50"/>
      <c r="I60" s="50"/>
      <c r="J60" s="50"/>
      <c r="K60" s="50"/>
      <c r="L60" s="50"/>
      <c r="M60" s="50"/>
      <c r="N60" s="50"/>
    </row>
    <row r="61" spans="2:14" ht="15" customHeight="1" x14ac:dyDescent="0.2">
      <c r="B61" s="39"/>
      <c r="C61" s="37"/>
      <c r="D61" s="37"/>
      <c r="E61" s="49"/>
      <c r="F61" s="50"/>
      <c r="G61" s="50"/>
      <c r="H61" s="50"/>
      <c r="I61" s="50"/>
      <c r="J61" s="50"/>
      <c r="K61" s="50"/>
      <c r="L61" s="50"/>
      <c r="M61" s="50"/>
      <c r="N61" s="50"/>
    </row>
    <row r="62" spans="2:14" ht="15" customHeight="1" x14ac:dyDescent="0.2">
      <c r="B62" s="39"/>
      <c r="C62" s="37"/>
      <c r="D62" s="37"/>
      <c r="E62" s="49"/>
      <c r="F62" s="50"/>
      <c r="G62" s="50"/>
      <c r="H62" s="50"/>
      <c r="I62" s="50"/>
      <c r="J62" s="50"/>
      <c r="K62" s="50"/>
      <c r="L62" s="50"/>
      <c r="M62" s="50"/>
      <c r="N62" s="50"/>
    </row>
    <row r="63" spans="2:14" ht="15" customHeight="1" x14ac:dyDescent="0.2">
      <c r="B63" s="39"/>
      <c r="C63" s="37"/>
      <c r="D63" s="37"/>
      <c r="E63" s="49"/>
      <c r="F63" s="50"/>
      <c r="G63" s="50"/>
      <c r="H63" s="50"/>
      <c r="I63" s="50"/>
      <c r="J63" s="50"/>
      <c r="K63" s="50"/>
      <c r="L63" s="50"/>
      <c r="M63" s="50"/>
      <c r="N63" s="50"/>
    </row>
    <row r="64" spans="2:14" ht="15" customHeight="1" x14ac:dyDescent="0.2">
      <c r="B64" s="40"/>
      <c r="C64" s="38"/>
      <c r="D64" s="38"/>
      <c r="E64" s="52"/>
      <c r="F64" s="53"/>
      <c r="G64" s="53"/>
      <c r="H64" s="53"/>
      <c r="I64" s="53"/>
      <c r="J64" s="53"/>
      <c r="K64" s="53"/>
      <c r="L64" s="53"/>
      <c r="M64" s="53"/>
      <c r="N64" s="53"/>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67" t="str">
        <f>C3</f>
        <v>Mason County PUD No.3</v>
      </c>
      <c r="G66" s="168"/>
      <c r="H66" s="169"/>
    </row>
    <row r="67" spans="1:34" ht="15" customHeight="1" x14ac:dyDescent="0.2">
      <c r="E67" s="10" t="s">
        <v>13</v>
      </c>
      <c r="F67" s="170">
        <v>2014</v>
      </c>
      <c r="G67" s="171"/>
      <c r="H67" s="172"/>
    </row>
    <row r="68" spans="1:34" ht="15" customHeight="1" x14ac:dyDescent="0.2">
      <c r="B68" s="10"/>
      <c r="C68" s="10"/>
      <c r="D68" s="10"/>
      <c r="E68" s="8"/>
      <c r="H68" s="26"/>
      <c r="I68" s="7"/>
    </row>
    <row r="69" spans="1:34" s="7" customFormat="1" ht="16.5" customHeight="1" x14ac:dyDescent="0.2">
      <c r="B69" s="6"/>
      <c r="C69" s="6"/>
      <c r="D69" s="6"/>
      <c r="E69" s="32" t="s">
        <v>14</v>
      </c>
      <c r="F69" s="30" t="s">
        <v>15</v>
      </c>
      <c r="G69" s="30" t="s">
        <v>16</v>
      </c>
      <c r="H69" s="30" t="s">
        <v>17</v>
      </c>
      <c r="I69" s="30" t="s">
        <v>18</v>
      </c>
      <c r="J69" s="30" t="s">
        <v>19</v>
      </c>
      <c r="K69" s="30" t="s">
        <v>20</v>
      </c>
      <c r="L69" s="30" t="s">
        <v>21</v>
      </c>
      <c r="M69" s="31" t="s">
        <v>22</v>
      </c>
      <c r="N69" s="31" t="s">
        <v>86</v>
      </c>
      <c r="O69" s="31"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1" t="s">
        <v>35</v>
      </c>
      <c r="C71" s="41" t="s">
        <v>62</v>
      </c>
      <c r="D71" s="41"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140"/>
      <c r="C72" s="45"/>
      <c r="D72" s="144"/>
      <c r="E72" s="55"/>
      <c r="F72" s="47"/>
      <c r="G72" s="47"/>
      <c r="H72" s="47"/>
      <c r="I72" s="47"/>
      <c r="J72" s="47"/>
      <c r="K72" s="47"/>
      <c r="L72" s="47"/>
      <c r="M72" s="47"/>
      <c r="N72" s="47"/>
      <c r="O72" s="48"/>
    </row>
    <row r="73" spans="1:34" ht="15" customHeight="1" x14ac:dyDescent="0.2">
      <c r="A73" s="7"/>
      <c r="B73" s="146" t="s">
        <v>244</v>
      </c>
      <c r="C73" s="45" t="s">
        <v>245</v>
      </c>
      <c r="D73" s="145">
        <v>2013</v>
      </c>
      <c r="E73" s="56"/>
      <c r="F73" s="50"/>
      <c r="G73" s="50"/>
      <c r="H73" s="50"/>
      <c r="I73" s="50"/>
      <c r="J73" s="50"/>
      <c r="K73" s="50"/>
      <c r="L73" s="50"/>
      <c r="M73" s="50"/>
      <c r="N73" s="50"/>
      <c r="O73" s="51">
        <v>445</v>
      </c>
    </row>
    <row r="74" spans="1:34" ht="15" customHeight="1" x14ac:dyDescent="0.2">
      <c r="A74" s="7"/>
      <c r="B74" s="147"/>
      <c r="C74" s="45"/>
      <c r="D74" s="45"/>
      <c r="E74" s="56"/>
      <c r="F74" s="50"/>
      <c r="G74" s="50"/>
      <c r="H74" s="50"/>
      <c r="I74" s="50"/>
      <c r="J74" s="50"/>
      <c r="K74" s="50"/>
      <c r="L74" s="50"/>
      <c r="M74" s="50"/>
      <c r="N74" s="50"/>
      <c r="O74" s="51"/>
    </row>
    <row r="75" spans="1:34" ht="15" customHeight="1" x14ac:dyDescent="0.2">
      <c r="A75" s="7"/>
      <c r="B75" s="140"/>
      <c r="C75" s="144"/>
      <c r="D75" s="45"/>
      <c r="E75" s="56"/>
      <c r="F75" s="47"/>
      <c r="G75" s="50"/>
      <c r="H75" s="50"/>
      <c r="I75" s="50"/>
      <c r="J75" s="50"/>
      <c r="K75" s="50"/>
      <c r="L75" s="50"/>
      <c r="M75" s="50"/>
      <c r="N75" s="50"/>
      <c r="O75" s="51"/>
    </row>
    <row r="76" spans="1:34" ht="15" customHeight="1" x14ac:dyDescent="0.2">
      <c r="A76" s="7"/>
      <c r="B76" s="72"/>
      <c r="C76" s="145"/>
      <c r="D76" s="145"/>
      <c r="E76" s="57"/>
      <c r="F76" s="50"/>
      <c r="G76" s="50"/>
      <c r="H76" s="50"/>
      <c r="I76" s="50"/>
      <c r="J76" s="50"/>
      <c r="K76" s="50"/>
      <c r="L76" s="50"/>
      <c r="M76" s="50"/>
      <c r="N76" s="50"/>
      <c r="O76" s="51"/>
    </row>
    <row r="77" spans="1:34" ht="15" customHeight="1" x14ac:dyDescent="0.2">
      <c r="A77" s="7"/>
      <c r="B77" s="140"/>
      <c r="C77" s="145"/>
      <c r="D77" s="145"/>
      <c r="E77" s="57"/>
      <c r="F77" s="50"/>
      <c r="G77" s="50"/>
      <c r="H77" s="50"/>
      <c r="I77" s="50"/>
      <c r="J77" s="50"/>
      <c r="K77" s="50"/>
      <c r="L77" s="50"/>
      <c r="M77" s="50"/>
      <c r="N77" s="50"/>
      <c r="O77" s="51"/>
    </row>
    <row r="78" spans="1:34" ht="15" customHeight="1" x14ac:dyDescent="0.2">
      <c r="A78" s="7"/>
      <c r="B78" s="140"/>
      <c r="C78" s="140"/>
      <c r="D78" s="145"/>
      <c r="E78" s="57"/>
      <c r="F78" s="50"/>
      <c r="G78" s="50"/>
      <c r="H78" s="50"/>
      <c r="I78" s="50"/>
      <c r="J78" s="50"/>
      <c r="K78" s="50"/>
      <c r="L78" s="50"/>
      <c r="M78" s="50"/>
      <c r="N78" s="50"/>
      <c r="O78" s="51"/>
    </row>
    <row r="79" spans="1:34" ht="15" customHeight="1" x14ac:dyDescent="0.2">
      <c r="B79" s="140"/>
      <c r="C79" s="140"/>
      <c r="D79" s="140"/>
      <c r="E79" s="57"/>
      <c r="F79" s="50"/>
      <c r="G79" s="50"/>
      <c r="H79" s="50"/>
      <c r="I79" s="50"/>
      <c r="J79" s="50"/>
      <c r="K79" s="50"/>
      <c r="L79" s="50"/>
      <c r="M79" s="50"/>
      <c r="N79" s="50"/>
      <c r="O79" s="51"/>
    </row>
    <row r="80" spans="1:34" ht="15" customHeight="1" x14ac:dyDescent="0.2">
      <c r="B80" s="140"/>
      <c r="C80" s="140"/>
      <c r="D80" s="140"/>
      <c r="E80" s="57"/>
      <c r="F80" s="50"/>
      <c r="G80" s="50"/>
      <c r="H80" s="50"/>
      <c r="I80" s="50"/>
      <c r="J80" s="50"/>
      <c r="K80" s="50"/>
      <c r="L80" s="50"/>
      <c r="M80" s="50"/>
      <c r="N80" s="50"/>
      <c r="O80" s="51"/>
    </row>
    <row r="81" spans="2:15" ht="15" customHeight="1" x14ac:dyDescent="0.2">
      <c r="B81" s="140"/>
      <c r="C81" s="140"/>
      <c r="D81" s="140"/>
      <c r="E81" s="57"/>
      <c r="F81" s="50"/>
      <c r="G81" s="50"/>
      <c r="H81" s="50"/>
      <c r="I81" s="50"/>
      <c r="J81" s="50"/>
      <c r="K81" s="50"/>
      <c r="L81" s="50"/>
      <c r="M81" s="50"/>
      <c r="N81" s="50"/>
      <c r="O81" s="51"/>
    </row>
    <row r="82" spans="2:15" ht="15" customHeight="1" x14ac:dyDescent="0.2">
      <c r="B82" s="39"/>
      <c r="C82" s="39"/>
      <c r="D82" s="39"/>
      <c r="E82" s="57"/>
      <c r="F82" s="50"/>
      <c r="G82" s="50"/>
      <c r="H82" s="50"/>
      <c r="I82" s="50"/>
      <c r="J82" s="50"/>
      <c r="K82" s="50"/>
      <c r="L82" s="50"/>
      <c r="M82" s="50"/>
      <c r="N82" s="50"/>
      <c r="O82" s="51"/>
    </row>
    <row r="83" spans="2:15" ht="15" customHeight="1" x14ac:dyDescent="0.2">
      <c r="B83" s="39"/>
      <c r="C83" s="39"/>
      <c r="D83" s="39"/>
      <c r="E83" s="57"/>
      <c r="F83" s="50"/>
      <c r="G83" s="50"/>
      <c r="H83" s="50"/>
      <c r="I83" s="50"/>
      <c r="J83" s="50"/>
      <c r="K83" s="50"/>
      <c r="L83" s="50"/>
      <c r="M83" s="50"/>
      <c r="N83" s="50"/>
      <c r="O83" s="51"/>
    </row>
    <row r="84" spans="2:15" ht="15" customHeight="1" x14ac:dyDescent="0.2">
      <c r="B84" s="39"/>
      <c r="C84" s="39"/>
      <c r="D84" s="39"/>
      <c r="E84" s="57"/>
      <c r="F84" s="50"/>
      <c r="G84" s="50"/>
      <c r="H84" s="50"/>
      <c r="I84" s="50"/>
      <c r="J84" s="50"/>
      <c r="K84" s="50"/>
      <c r="L84" s="50"/>
      <c r="M84" s="50"/>
      <c r="N84" s="50"/>
      <c r="O84" s="51"/>
    </row>
    <row r="85" spans="2:15" ht="15" customHeight="1" x14ac:dyDescent="0.2">
      <c r="B85" s="39"/>
      <c r="C85" s="39"/>
      <c r="D85" s="39"/>
      <c r="E85" s="57"/>
      <c r="F85" s="50"/>
      <c r="G85" s="50"/>
      <c r="H85" s="50"/>
      <c r="I85" s="50"/>
      <c r="J85" s="50"/>
      <c r="K85" s="50"/>
      <c r="L85" s="50"/>
      <c r="M85" s="50"/>
      <c r="N85" s="50"/>
      <c r="O85" s="51"/>
    </row>
    <row r="86" spans="2:15" ht="15" customHeight="1" x14ac:dyDescent="0.2">
      <c r="B86" s="39"/>
      <c r="C86" s="39"/>
      <c r="D86" s="39"/>
      <c r="E86" s="57"/>
      <c r="F86" s="50"/>
      <c r="G86" s="50"/>
      <c r="H86" s="50"/>
      <c r="I86" s="50"/>
      <c r="J86" s="50"/>
      <c r="K86" s="50"/>
      <c r="L86" s="50"/>
      <c r="M86" s="50"/>
      <c r="N86" s="50"/>
      <c r="O86" s="51"/>
    </row>
    <row r="87" spans="2:15" ht="15" customHeight="1" x14ac:dyDescent="0.2">
      <c r="B87" s="39"/>
      <c r="C87" s="39"/>
      <c r="D87" s="39"/>
      <c r="E87" s="57"/>
      <c r="F87" s="50"/>
      <c r="G87" s="50"/>
      <c r="H87" s="50"/>
      <c r="I87" s="50"/>
      <c r="J87" s="50"/>
      <c r="K87" s="50"/>
      <c r="L87" s="50"/>
      <c r="M87" s="50"/>
      <c r="N87" s="50"/>
      <c r="O87" s="51"/>
    </row>
    <row r="88" spans="2:15" ht="15" customHeight="1" x14ac:dyDescent="0.2">
      <c r="B88" s="39"/>
      <c r="C88" s="39"/>
      <c r="D88" s="39"/>
      <c r="E88" s="57"/>
      <c r="F88" s="50"/>
      <c r="G88" s="50"/>
      <c r="H88" s="50"/>
      <c r="I88" s="50"/>
      <c r="J88" s="50"/>
      <c r="K88" s="50"/>
      <c r="L88" s="50"/>
      <c r="M88" s="50"/>
      <c r="N88" s="50"/>
      <c r="O88" s="51"/>
    </row>
    <row r="89" spans="2:15" ht="15" customHeight="1" x14ac:dyDescent="0.2">
      <c r="B89" s="39"/>
      <c r="C89" s="39"/>
      <c r="D89" s="39"/>
      <c r="E89" s="57"/>
      <c r="F89" s="50"/>
      <c r="G89" s="50"/>
      <c r="H89" s="50"/>
      <c r="I89" s="50"/>
      <c r="J89" s="50"/>
      <c r="K89" s="50"/>
      <c r="L89" s="50"/>
      <c r="M89" s="50"/>
      <c r="N89" s="50"/>
      <c r="O89" s="51"/>
    </row>
    <row r="90" spans="2:15" ht="15" customHeight="1" x14ac:dyDescent="0.2">
      <c r="B90" s="39"/>
      <c r="C90" s="39"/>
      <c r="D90" s="39"/>
      <c r="E90" s="57"/>
      <c r="F90" s="50"/>
      <c r="G90" s="50"/>
      <c r="H90" s="50"/>
      <c r="I90" s="50"/>
      <c r="J90" s="50"/>
      <c r="K90" s="50"/>
      <c r="L90" s="50"/>
      <c r="M90" s="50"/>
      <c r="N90" s="50"/>
      <c r="O90" s="51"/>
    </row>
    <row r="91" spans="2:15" ht="15" customHeight="1" x14ac:dyDescent="0.2">
      <c r="B91" s="39"/>
      <c r="C91" s="39"/>
      <c r="D91" s="39"/>
      <c r="E91" s="57"/>
      <c r="F91" s="50"/>
      <c r="G91" s="50"/>
      <c r="H91" s="50"/>
      <c r="I91" s="50"/>
      <c r="J91" s="50"/>
      <c r="K91" s="50"/>
      <c r="L91" s="50"/>
      <c r="M91" s="50"/>
      <c r="N91" s="50"/>
      <c r="O91" s="51"/>
    </row>
    <row r="92" spans="2:15" ht="15" customHeight="1" x14ac:dyDescent="0.2">
      <c r="B92" s="39"/>
      <c r="C92" s="39"/>
      <c r="D92" s="39"/>
      <c r="E92" s="57"/>
      <c r="F92" s="50"/>
      <c r="G92" s="50"/>
      <c r="H92" s="50"/>
      <c r="I92" s="50"/>
      <c r="J92" s="50"/>
      <c r="K92" s="50"/>
      <c r="L92" s="50"/>
      <c r="M92" s="50"/>
      <c r="N92" s="50"/>
      <c r="O92" s="51"/>
    </row>
    <row r="93" spans="2:15" ht="15" customHeight="1" x14ac:dyDescent="0.2">
      <c r="B93" s="39"/>
      <c r="C93" s="39"/>
      <c r="D93" s="39"/>
      <c r="E93" s="57"/>
      <c r="F93" s="50"/>
      <c r="G93" s="50"/>
      <c r="H93" s="50"/>
      <c r="I93" s="50"/>
      <c r="J93" s="50"/>
      <c r="K93" s="50"/>
      <c r="L93" s="50"/>
      <c r="M93" s="50"/>
      <c r="N93" s="50"/>
      <c r="O93" s="51"/>
    </row>
    <row r="94" spans="2:15" ht="15" customHeight="1" x14ac:dyDescent="0.2">
      <c r="B94" s="39"/>
      <c r="C94" s="39"/>
      <c r="D94" s="39"/>
      <c r="E94" s="57"/>
      <c r="F94" s="50"/>
      <c r="G94" s="50"/>
      <c r="H94" s="50"/>
      <c r="I94" s="50"/>
      <c r="J94" s="50"/>
      <c r="K94" s="50"/>
      <c r="L94" s="50"/>
      <c r="M94" s="50"/>
      <c r="N94" s="50"/>
      <c r="O94" s="51"/>
    </row>
    <row r="95" spans="2:15" ht="15" customHeight="1" x14ac:dyDescent="0.2">
      <c r="B95" s="39"/>
      <c r="C95" s="39"/>
      <c r="D95" s="39"/>
      <c r="E95" s="57"/>
      <c r="F95" s="50"/>
      <c r="G95" s="50"/>
      <c r="H95" s="50"/>
      <c r="I95" s="50"/>
      <c r="J95" s="50"/>
      <c r="K95" s="50"/>
      <c r="L95" s="50"/>
      <c r="M95" s="50"/>
      <c r="N95" s="50"/>
      <c r="O95" s="51"/>
    </row>
    <row r="96" spans="2:15" ht="15" customHeight="1" x14ac:dyDescent="0.2">
      <c r="B96" s="40"/>
      <c r="C96" s="40"/>
      <c r="D96" s="40"/>
      <c r="E96" s="58"/>
      <c r="F96" s="53"/>
      <c r="G96" s="53"/>
      <c r="H96" s="53"/>
      <c r="I96" s="53"/>
      <c r="J96" s="53"/>
      <c r="K96" s="53"/>
      <c r="L96" s="53"/>
      <c r="M96" s="53"/>
      <c r="N96" s="53"/>
      <c r="O96" s="54"/>
    </row>
    <row r="97" spans="2:34" ht="15" customHeight="1" x14ac:dyDescent="0.2"/>
    <row r="98" spans="2:34" ht="15" customHeight="1" x14ac:dyDescent="0.2">
      <c r="B98" s="11"/>
      <c r="C98" s="11"/>
      <c r="D98" s="11"/>
      <c r="E98" s="10" t="s">
        <v>4</v>
      </c>
      <c r="F98" s="167" t="str">
        <f>C3</f>
        <v>Mason County PUD No.3</v>
      </c>
      <c r="G98" s="168"/>
      <c r="H98" s="169"/>
    </row>
    <row r="99" spans="2:34" ht="15" customHeight="1" x14ac:dyDescent="0.2">
      <c r="E99" s="10" t="s">
        <v>50</v>
      </c>
      <c r="F99" s="170">
        <v>2014</v>
      </c>
      <c r="G99" s="171"/>
      <c r="H99" s="172"/>
    </row>
    <row r="100" spans="2:34" ht="15" customHeight="1" x14ac:dyDescent="0.2">
      <c r="B100" s="11" t="s">
        <v>78</v>
      </c>
      <c r="C100" s="11"/>
      <c r="D100" s="11"/>
      <c r="E100" s="10"/>
      <c r="F100" s="136"/>
    </row>
    <row r="101" spans="2:34" ht="15" customHeight="1" x14ac:dyDescent="0.2">
      <c r="B101" s="135"/>
      <c r="C101" s="135"/>
      <c r="D101" s="135"/>
      <c r="E101" s="135"/>
      <c r="F101" s="135"/>
      <c r="G101" s="135"/>
      <c r="H101" s="135"/>
      <c r="I101" s="135"/>
      <c r="J101" s="135"/>
      <c r="K101" s="135"/>
      <c r="L101" s="135"/>
      <c r="M101" s="135"/>
    </row>
    <row r="102" spans="2:34" ht="15" customHeight="1" x14ac:dyDescent="0.2">
      <c r="B102" s="135"/>
      <c r="C102" s="135"/>
      <c r="D102" s="135"/>
      <c r="E102" s="135"/>
      <c r="F102" s="135"/>
      <c r="G102" s="135"/>
      <c r="H102" s="135"/>
      <c r="I102" s="135"/>
      <c r="J102" s="135"/>
      <c r="K102" s="135"/>
      <c r="L102" s="135"/>
      <c r="M102" s="135"/>
    </row>
    <row r="103" spans="2:34" s="7" customFormat="1" ht="15" customHeight="1" x14ac:dyDescent="0.2">
      <c r="B103" s="135"/>
      <c r="C103" s="135"/>
      <c r="D103" s="135"/>
      <c r="E103" s="135"/>
      <c r="F103" s="135"/>
      <c r="G103" s="135"/>
      <c r="H103" s="135"/>
      <c r="I103" s="135"/>
      <c r="J103" s="135"/>
      <c r="K103" s="135"/>
      <c r="L103" s="135"/>
      <c r="M103" s="135"/>
      <c r="AH103" s="1"/>
    </row>
    <row r="104" spans="2:34" s="7" customFormat="1" ht="15" customHeight="1" x14ac:dyDescent="0.2">
      <c r="B104" s="135"/>
      <c r="C104" s="135"/>
      <c r="D104" s="135"/>
      <c r="E104" s="135"/>
      <c r="F104" s="135"/>
      <c r="G104" s="135"/>
      <c r="H104" s="135"/>
      <c r="I104" s="135"/>
      <c r="J104" s="135"/>
      <c r="K104" s="135"/>
      <c r="L104" s="135"/>
      <c r="M104" s="135"/>
    </row>
    <row r="105" spans="2:34" s="7" customFormat="1" x14ac:dyDescent="0.2">
      <c r="B105" s="135"/>
      <c r="C105" s="135"/>
      <c r="D105" s="135"/>
      <c r="E105" s="135"/>
      <c r="F105" s="135"/>
      <c r="G105" s="135"/>
      <c r="H105" s="135"/>
      <c r="I105" s="135"/>
      <c r="J105" s="135"/>
      <c r="K105" s="135"/>
      <c r="L105" s="135"/>
      <c r="M105" s="135"/>
    </row>
    <row r="106" spans="2:34" s="7" customFormat="1" x14ac:dyDescent="0.2">
      <c r="B106" s="135"/>
      <c r="C106" s="135"/>
      <c r="D106" s="135"/>
      <c r="E106" s="135"/>
      <c r="F106" s="135"/>
      <c r="G106" s="135"/>
      <c r="H106" s="135"/>
      <c r="I106" s="135"/>
      <c r="J106" s="135"/>
      <c r="K106" s="135"/>
      <c r="L106" s="135"/>
      <c r="M106" s="135"/>
    </row>
    <row r="107" spans="2:34" s="7" customFormat="1" x14ac:dyDescent="0.2">
      <c r="B107" s="135"/>
      <c r="C107" s="135"/>
      <c r="D107" s="135"/>
      <c r="E107" s="135"/>
      <c r="F107" s="135"/>
      <c r="G107" s="135"/>
      <c r="H107" s="135"/>
      <c r="I107" s="135"/>
      <c r="J107" s="135"/>
      <c r="K107" s="135"/>
      <c r="L107" s="135"/>
      <c r="M107" s="135"/>
    </row>
    <row r="108" spans="2:34" x14ac:dyDescent="0.2">
      <c r="B108" s="135"/>
      <c r="C108" s="135"/>
      <c r="D108" s="135"/>
      <c r="E108" s="135"/>
      <c r="F108" s="135"/>
      <c r="G108" s="135"/>
      <c r="H108" s="135"/>
      <c r="I108" s="135"/>
      <c r="J108" s="135"/>
      <c r="K108" s="135"/>
      <c r="L108" s="135"/>
      <c r="M108" s="135"/>
      <c r="AH108" s="7"/>
    </row>
    <row r="109" spans="2:34" x14ac:dyDescent="0.2">
      <c r="B109" s="135"/>
      <c r="C109" s="135"/>
      <c r="D109" s="135"/>
      <c r="E109" s="135"/>
      <c r="F109" s="135"/>
      <c r="G109" s="135"/>
      <c r="H109" s="135"/>
      <c r="I109" s="135"/>
      <c r="J109" s="135"/>
      <c r="K109" s="135"/>
      <c r="L109" s="135"/>
      <c r="M109" s="135"/>
    </row>
    <row r="110" spans="2:34" x14ac:dyDescent="0.2">
      <c r="B110" s="135"/>
      <c r="C110" s="135"/>
      <c r="D110" s="135"/>
      <c r="E110" s="135"/>
      <c r="F110" s="135"/>
      <c r="G110" s="135"/>
      <c r="H110" s="135"/>
      <c r="I110" s="135"/>
      <c r="J110" s="135"/>
      <c r="K110" s="135"/>
      <c r="L110" s="135"/>
      <c r="M110" s="135"/>
    </row>
    <row r="111" spans="2:34" x14ac:dyDescent="0.2">
      <c r="B111" s="135"/>
      <c r="C111" s="135"/>
      <c r="D111" s="135"/>
      <c r="E111" s="135"/>
      <c r="F111" s="135"/>
      <c r="G111" s="135"/>
      <c r="H111" s="135"/>
      <c r="I111" s="135"/>
      <c r="J111" s="135"/>
      <c r="K111" s="135"/>
      <c r="L111" s="135"/>
      <c r="M111" s="135"/>
    </row>
    <row r="112" spans="2:34" x14ac:dyDescent="0.2">
      <c r="B112" s="135"/>
      <c r="C112" s="135"/>
      <c r="D112" s="135"/>
      <c r="E112" s="135"/>
      <c r="F112" s="135"/>
      <c r="G112" s="135"/>
      <c r="H112" s="135"/>
      <c r="I112" s="135"/>
      <c r="J112" s="135"/>
      <c r="K112" s="135"/>
      <c r="L112" s="135"/>
      <c r="M112" s="135"/>
    </row>
    <row r="113" spans="2:13" x14ac:dyDescent="0.2">
      <c r="B113" s="135"/>
      <c r="C113" s="135"/>
      <c r="D113" s="135"/>
      <c r="E113" s="135"/>
      <c r="F113" s="135"/>
      <c r="G113" s="135"/>
      <c r="H113" s="135"/>
      <c r="I113" s="135"/>
      <c r="J113" s="135"/>
      <c r="K113" s="135"/>
      <c r="L113" s="135"/>
      <c r="M113" s="135"/>
    </row>
    <row r="114" spans="2:13" x14ac:dyDescent="0.2">
      <c r="B114" s="135"/>
      <c r="C114" s="135"/>
      <c r="D114" s="135"/>
      <c r="E114" s="135"/>
      <c r="F114" s="135"/>
      <c r="G114" s="135"/>
      <c r="H114" s="135"/>
      <c r="I114" s="135"/>
      <c r="J114" s="135"/>
      <c r="K114" s="135"/>
      <c r="L114" s="135"/>
      <c r="M114" s="135"/>
    </row>
    <row r="115" spans="2:13" x14ac:dyDescent="0.2">
      <c r="B115" s="2" t="s">
        <v>79</v>
      </c>
      <c r="C115" s="135"/>
      <c r="D115" s="135"/>
      <c r="E115" s="135"/>
      <c r="F115" s="135"/>
      <c r="G115" s="135"/>
      <c r="H115" s="135"/>
      <c r="I115" s="135"/>
      <c r="J115" s="135"/>
      <c r="K115" s="135"/>
      <c r="L115" s="135"/>
      <c r="M115" s="135"/>
    </row>
    <row r="116" spans="2:13" x14ac:dyDescent="0.2">
      <c r="B116" s="135"/>
      <c r="C116" s="135"/>
      <c r="D116" s="135"/>
      <c r="E116" s="135"/>
      <c r="F116" s="135"/>
      <c r="G116" s="135"/>
      <c r="H116" s="135"/>
      <c r="I116" s="135"/>
      <c r="J116" s="135"/>
      <c r="K116" s="135"/>
      <c r="L116" s="135"/>
      <c r="M116" s="135"/>
    </row>
    <row r="117" spans="2:13" x14ac:dyDescent="0.2">
      <c r="B117" s="135"/>
      <c r="C117" s="135"/>
      <c r="D117" s="135"/>
      <c r="E117" s="135"/>
      <c r="F117" s="135"/>
      <c r="G117" s="135"/>
      <c r="H117" s="135"/>
      <c r="I117" s="135"/>
      <c r="J117" s="135"/>
      <c r="K117" s="135"/>
      <c r="L117" s="135"/>
      <c r="M117" s="135"/>
    </row>
    <row r="118" spans="2:13" x14ac:dyDescent="0.2">
      <c r="B118" s="135"/>
      <c r="C118" s="135"/>
      <c r="D118" s="135"/>
      <c r="E118" s="135"/>
      <c r="F118" s="135"/>
      <c r="G118" s="135"/>
      <c r="H118" s="135"/>
      <c r="I118" s="135"/>
      <c r="J118" s="135"/>
      <c r="K118" s="135"/>
      <c r="L118" s="135"/>
      <c r="M118" s="135"/>
    </row>
    <row r="119" spans="2:13" x14ac:dyDescent="0.2">
      <c r="B119" s="135"/>
      <c r="C119" s="135"/>
      <c r="D119" s="135"/>
      <c r="E119" s="135"/>
      <c r="F119" s="135"/>
      <c r="G119" s="135"/>
      <c r="H119" s="135"/>
      <c r="I119" s="135"/>
      <c r="J119" s="135"/>
      <c r="K119" s="135"/>
      <c r="L119" s="135"/>
      <c r="M119" s="135"/>
    </row>
    <row r="120" spans="2:13" x14ac:dyDescent="0.2">
      <c r="B120" s="135"/>
      <c r="C120" s="135"/>
      <c r="D120" s="135"/>
      <c r="E120" s="135"/>
      <c r="F120" s="135"/>
      <c r="G120" s="135"/>
      <c r="H120" s="135"/>
      <c r="I120" s="135"/>
      <c r="J120" s="135"/>
      <c r="K120" s="135"/>
      <c r="L120" s="135"/>
      <c r="M120" s="135"/>
    </row>
    <row r="121" spans="2:13" x14ac:dyDescent="0.2">
      <c r="B121" s="135"/>
      <c r="C121" s="135"/>
      <c r="D121" s="135"/>
      <c r="E121" s="135"/>
      <c r="F121" s="135"/>
      <c r="G121" s="135"/>
      <c r="H121" s="135"/>
      <c r="I121" s="135"/>
      <c r="J121" s="135"/>
      <c r="K121" s="135"/>
      <c r="L121" s="135"/>
      <c r="M121" s="135"/>
    </row>
    <row r="122" spans="2:13" x14ac:dyDescent="0.2">
      <c r="B122" s="135"/>
      <c r="C122" s="135"/>
      <c r="D122" s="135"/>
      <c r="E122" s="135"/>
      <c r="F122" s="135"/>
      <c r="G122" s="135"/>
      <c r="H122" s="135"/>
      <c r="I122" s="135"/>
      <c r="J122" s="135"/>
      <c r="K122" s="135"/>
      <c r="L122" s="135"/>
      <c r="M122" s="135"/>
    </row>
    <row r="123" spans="2:13" x14ac:dyDescent="0.2">
      <c r="B123" s="135"/>
      <c r="C123" s="135"/>
      <c r="D123" s="135"/>
      <c r="E123" s="135"/>
      <c r="F123" s="135"/>
      <c r="G123" s="135"/>
      <c r="H123" s="135"/>
      <c r="I123" s="135"/>
      <c r="J123" s="135"/>
      <c r="K123" s="135"/>
      <c r="L123" s="135"/>
      <c r="M123" s="135"/>
    </row>
    <row r="124" spans="2:13" x14ac:dyDescent="0.2">
      <c r="B124" s="135"/>
      <c r="C124" s="135"/>
      <c r="D124" s="135"/>
      <c r="E124" s="135"/>
      <c r="F124" s="135"/>
      <c r="G124" s="135"/>
      <c r="H124" s="135"/>
      <c r="I124" s="135"/>
      <c r="J124" s="135"/>
      <c r="K124" s="135"/>
      <c r="L124" s="135"/>
      <c r="M124" s="135"/>
    </row>
    <row r="125" spans="2:13" x14ac:dyDescent="0.2">
      <c r="B125" s="135"/>
      <c r="C125" s="135"/>
      <c r="D125" s="135"/>
      <c r="E125" s="135"/>
      <c r="F125" s="135"/>
      <c r="G125" s="135"/>
      <c r="H125" s="135"/>
      <c r="I125" s="135"/>
      <c r="J125" s="135"/>
      <c r="K125" s="135"/>
      <c r="L125" s="135"/>
      <c r="M125" s="135"/>
    </row>
    <row r="126" spans="2:13" x14ac:dyDescent="0.2">
      <c r="B126" s="135"/>
      <c r="C126" s="135"/>
      <c r="D126" s="135"/>
      <c r="E126" s="135"/>
      <c r="F126" s="135"/>
      <c r="G126" s="135"/>
      <c r="H126" s="135"/>
      <c r="I126" s="135"/>
      <c r="J126" s="135"/>
      <c r="K126" s="135"/>
      <c r="L126" s="135"/>
      <c r="M126" s="135"/>
    </row>
    <row r="127" spans="2:13" x14ac:dyDescent="0.2">
      <c r="B127" s="135"/>
      <c r="C127" s="135"/>
      <c r="D127" s="135"/>
      <c r="E127" s="135"/>
      <c r="F127" s="135"/>
      <c r="G127" s="135"/>
      <c r="H127" s="135"/>
      <c r="I127" s="135"/>
      <c r="J127" s="135"/>
      <c r="K127" s="135"/>
      <c r="L127" s="135"/>
      <c r="M127" s="135"/>
    </row>
    <row r="128" spans="2:13" x14ac:dyDescent="0.2">
      <c r="B128" s="135"/>
      <c r="C128" s="135"/>
      <c r="D128" s="135"/>
      <c r="E128" s="135"/>
      <c r="F128" s="135"/>
      <c r="G128" s="135"/>
      <c r="H128" s="135"/>
      <c r="I128" s="135"/>
      <c r="J128" s="135"/>
      <c r="K128" s="135"/>
      <c r="L128" s="135"/>
      <c r="M128" s="135"/>
    </row>
    <row r="129" spans="2:13" x14ac:dyDescent="0.2">
      <c r="B129" s="135"/>
      <c r="C129" s="135"/>
      <c r="D129" s="135"/>
      <c r="E129" s="135"/>
      <c r="F129" s="135"/>
      <c r="G129" s="135"/>
      <c r="H129" s="135"/>
      <c r="I129" s="135"/>
      <c r="J129" s="135"/>
      <c r="K129" s="135"/>
      <c r="L129" s="135"/>
      <c r="M129" s="135"/>
    </row>
    <row r="130" spans="2:13" x14ac:dyDescent="0.2">
      <c r="B130" s="135"/>
      <c r="C130" s="135"/>
      <c r="D130" s="135"/>
      <c r="E130" s="135"/>
      <c r="F130" s="135"/>
      <c r="G130" s="135"/>
      <c r="H130" s="135"/>
      <c r="I130" s="135"/>
      <c r="J130" s="135"/>
      <c r="K130" s="135"/>
      <c r="L130" s="135"/>
      <c r="M130" s="135"/>
    </row>
    <row r="131" spans="2:13" x14ac:dyDescent="0.2">
      <c r="B131" s="135"/>
      <c r="C131" s="135"/>
      <c r="D131" s="135"/>
      <c r="E131" s="135"/>
      <c r="F131" s="135"/>
      <c r="G131" s="135"/>
      <c r="H131" s="135"/>
      <c r="I131" s="135"/>
      <c r="J131" s="135"/>
      <c r="K131" s="135"/>
      <c r="L131" s="135"/>
      <c r="M131" s="135"/>
    </row>
    <row r="132" spans="2:13" x14ac:dyDescent="0.2">
      <c r="B132" s="135"/>
      <c r="C132" s="135"/>
      <c r="D132" s="135"/>
      <c r="E132" s="135"/>
      <c r="F132" s="135"/>
      <c r="G132" s="135"/>
      <c r="H132" s="135"/>
      <c r="I132" s="135"/>
      <c r="J132" s="135"/>
      <c r="K132" s="135"/>
      <c r="L132" s="135"/>
      <c r="M132" s="135"/>
    </row>
    <row r="133" spans="2:13" x14ac:dyDescent="0.2">
      <c r="B133" s="135"/>
      <c r="C133" s="135"/>
      <c r="D133" s="135"/>
      <c r="E133" s="135"/>
      <c r="F133" s="135"/>
      <c r="G133" s="135"/>
      <c r="H133" s="135"/>
      <c r="I133" s="135"/>
      <c r="J133" s="135"/>
      <c r="K133" s="135"/>
      <c r="L133" s="135"/>
      <c r="M133" s="135"/>
    </row>
    <row r="134" spans="2:13" x14ac:dyDescent="0.2">
      <c r="B134" s="135"/>
      <c r="C134" s="135"/>
      <c r="D134" s="135"/>
      <c r="E134" s="135"/>
      <c r="F134" s="135"/>
      <c r="G134" s="135"/>
      <c r="H134" s="135"/>
      <c r="I134" s="135"/>
      <c r="J134" s="135"/>
      <c r="K134" s="135"/>
      <c r="L134" s="135"/>
      <c r="M134" s="135"/>
    </row>
    <row r="135" spans="2:13" x14ac:dyDescent="0.2">
      <c r="B135" s="135"/>
      <c r="C135" s="135"/>
      <c r="D135" s="135"/>
      <c r="E135" s="135"/>
      <c r="F135" s="135"/>
      <c r="G135" s="135"/>
      <c r="H135" s="135"/>
      <c r="I135" s="135"/>
      <c r="J135" s="135"/>
      <c r="K135" s="135"/>
      <c r="L135" s="135"/>
      <c r="M135" s="135"/>
    </row>
    <row r="136" spans="2:13" x14ac:dyDescent="0.2">
      <c r="B136" s="135"/>
      <c r="C136" s="135"/>
      <c r="D136" s="135"/>
      <c r="E136" s="135"/>
      <c r="F136" s="135"/>
      <c r="G136" s="135"/>
      <c r="H136" s="135"/>
      <c r="I136" s="135"/>
      <c r="J136" s="135"/>
      <c r="K136" s="135"/>
      <c r="L136" s="135"/>
      <c r="M136" s="135"/>
    </row>
  </sheetData>
  <mergeCells count="16">
    <mergeCell ref="B39:G39"/>
    <mergeCell ref="C7:E7"/>
    <mergeCell ref="G10:N10"/>
    <mergeCell ref="I14:M14"/>
    <mergeCell ref="F36:H36"/>
    <mergeCell ref="F37:H37"/>
    <mergeCell ref="I2:N2"/>
    <mergeCell ref="C3:E3"/>
    <mergeCell ref="C4:E4"/>
    <mergeCell ref="C5:E5"/>
    <mergeCell ref="C6:E6"/>
    <mergeCell ref="F66:H66"/>
    <mergeCell ref="F67:H67"/>
    <mergeCell ref="F98:H98"/>
    <mergeCell ref="F99:H99"/>
    <mergeCell ref="C43:D43"/>
  </mergeCells>
  <hyperlinks>
    <hyperlink ref="C7" r:id="rId1"/>
  </hyperlinks>
  <pageMargins left="0.7" right="0.7" top="0.75" bottom="0.75" header="0.3" footer="0.3"/>
  <pageSetup scale="64"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9217" r:id="rId5" name="Check Box 1">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9218" r:id="rId6" name="Check Box 2">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9219" r:id="rId7" name="Check Box 3">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e">
        <f>REN_Utility_Name</f>
        <v>#REF!</v>
      </c>
      <c r="B2" t="e">
        <f>REN_Total_2014</f>
        <v>#REF!</v>
      </c>
      <c r="C2" t="e">
        <f>CON_2012_Agriculture_MWH</f>
        <v>#REF!</v>
      </c>
      <c r="D2" t="e">
        <f>CON_2012_Commercial_Expend</f>
        <v>#REF!</v>
      </c>
      <c r="E2" t="e">
        <f>CON_2012_Commercial_MWH</f>
        <v>#REF!</v>
      </c>
      <c r="F2" t="e">
        <f>CON_2012_Distribution_Expend</f>
        <v>#REF!</v>
      </c>
      <c r="G2" t="e">
        <f>CON_2012_Distribution_MWH</f>
        <v>#REF!</v>
      </c>
      <c r="H2" t="e">
        <f>CON_2012_Expenditures</f>
        <v>#REF!</v>
      </c>
      <c r="I2" t="e">
        <f>CON_2012_Industrial_Expend</f>
        <v>#REF!</v>
      </c>
      <c r="J2" t="e">
        <f>CON_2012_Industrial_MWH</f>
        <v>#REF!</v>
      </c>
      <c r="K2" t="e">
        <f>CON_2012_MWH</f>
        <v>#REF!</v>
      </c>
      <c r="L2" t="e">
        <f>CON_2012_NEEA_Expend</f>
        <v>#REF!</v>
      </c>
      <c r="M2" t="e">
        <f>CON_2012_NEEA_MWH</f>
        <v>#REF!</v>
      </c>
      <c r="N2" t="e">
        <f>CON_2012_OtherSector1_Expend</f>
        <v>#REF!</v>
      </c>
      <c r="O2" t="e">
        <f>CON_2012_OtherSector1_MWH</f>
        <v>#REF!</v>
      </c>
      <c r="P2" t="e">
        <f>CON_2012_OtherSector2_Expend</f>
        <v>#REF!</v>
      </c>
      <c r="Q2" t="e">
        <f>CON_2012_OtherSector2_MWH</f>
        <v>#REF!</v>
      </c>
      <c r="R2" t="e">
        <f>CON_2012_Production_Expend</f>
        <v>#REF!</v>
      </c>
      <c r="S2" t="e">
        <f>CON_2012_Production_MWH</f>
        <v>#REF!</v>
      </c>
      <c r="T2" t="e">
        <f>CON_2012_Program1_Expend</f>
        <v>#REF!</v>
      </c>
      <c r="U2" t="e">
        <f>CON_2012_Program2_Expend</f>
        <v>#REF!</v>
      </c>
      <c r="V2" t="e">
        <f>CON_2012_Residential_Expend</f>
        <v>#REF!</v>
      </c>
      <c r="W2" t="e">
        <f>CON_2012_Residential_MWH</f>
        <v>#REF!</v>
      </c>
      <c r="X2" t="e">
        <f>CON_2013_Agriculture_Expend</f>
        <v>#REF!</v>
      </c>
      <c r="Y2" t="e">
        <f>CON_2013_Agriculture_MWH</f>
        <v>#REF!</v>
      </c>
      <c r="Z2" t="e">
        <f>CON_2013_Commercial_Expend</f>
        <v>#REF!</v>
      </c>
      <c r="AA2" t="e">
        <f>CON_2013_Commercial_MWH</f>
        <v>#REF!</v>
      </c>
      <c r="AB2" t="e">
        <f>CON_2013_Distribution_Expend</f>
        <v>#REF!</v>
      </c>
      <c r="AC2" t="e">
        <f>CON_2013_Distribution_MWH</f>
        <v>#REF!</v>
      </c>
      <c r="AD2" t="e">
        <f>CON_2013_Expenditures</f>
        <v>#REF!</v>
      </c>
      <c r="AE2" t="e">
        <f>CON_2013_Industrial_Expend</f>
        <v>#REF!</v>
      </c>
      <c r="AF2" t="e">
        <f>CON_2013_Industrial_MWH</f>
        <v>#REF!</v>
      </c>
      <c r="AG2" t="e">
        <f>CON_2013_MWH</f>
        <v>#REF!</v>
      </c>
      <c r="AH2" t="e">
        <f>CON_2013_NEEA_Expend</f>
        <v>#REF!</v>
      </c>
      <c r="AI2" t="e">
        <f>CON_2013_NEEA_MWH</f>
        <v>#REF!</v>
      </c>
      <c r="AJ2" t="e">
        <f>CON_2013_OtherSector1_Expend</f>
        <v>#REF!</v>
      </c>
      <c r="AK2" t="e">
        <f>CON_2013_OtherSector1_MWH</f>
        <v>#REF!</v>
      </c>
      <c r="AL2" t="e">
        <f>CON_2013_OtherSector2_Expend</f>
        <v>#REF!</v>
      </c>
      <c r="AM2" t="e">
        <f>CON_2013_OtherSector2_MWH</f>
        <v>#REF!</v>
      </c>
      <c r="AN2" t="e">
        <f>CON_2013_Production_Expend</f>
        <v>#REF!</v>
      </c>
      <c r="AO2" t="e">
        <f>CON_2013_Production_MWH</f>
        <v>#REF!</v>
      </c>
      <c r="AP2" t="e">
        <f>CON_2013_Program1_Expend</f>
        <v>#REF!</v>
      </c>
      <c r="AQ2" t="e">
        <f>CON_2013_Program2_Expend</f>
        <v>#REF!</v>
      </c>
      <c r="AR2" t="e">
        <f>CON_2013_Residential_Expend</f>
        <v>#REF!</v>
      </c>
      <c r="AS2" t="e">
        <f>CON_2013_Residential_MWH</f>
        <v>#REF!</v>
      </c>
      <c r="AT2" t="e">
        <f>CON_Contact_Name</f>
        <v>#REF!</v>
      </c>
      <c r="AU2" t="e">
        <f>CON_Email</f>
        <v>#REF!</v>
      </c>
      <c r="AV2" t="e">
        <f>CON_Phone</f>
        <v>#REF!</v>
      </c>
      <c r="AW2" t="e">
        <f>CON_Potential_2012_2021</f>
        <v>#REF!</v>
      </c>
      <c r="AX2" t="e">
        <f>CON_Potential_2014_2023</f>
        <v>#REF!</v>
      </c>
      <c r="AY2" t="e">
        <f>CON_Report_Date</f>
        <v>#REF!</v>
      </c>
      <c r="AZ2" t="e">
        <f>CON_Target_2012_2013</f>
        <v>#REF!</v>
      </c>
      <c r="BA2" t="e">
        <f>CON_Target_2014_2015</f>
        <v>#REF!</v>
      </c>
      <c r="BB2" t="e">
        <f>CON_Utility_Name</f>
        <v>#REF!</v>
      </c>
      <c r="BC2" t="e">
        <f>REN_Contact_Name</f>
        <v>#REF!</v>
      </c>
      <c r="BD2" t="e">
        <f>REN_Email</f>
        <v>#REF!</v>
      </c>
      <c r="BE2" t="e">
        <f>REN_ERR_ApprenticeLabor</f>
        <v>#REF!</v>
      </c>
      <c r="BF2" t="e">
        <f>REN_ERR_Biodiesel</f>
        <v>#REF!</v>
      </c>
      <c r="BG2" t="e">
        <f>REN_ERR_Biomass</f>
        <v>#REF!</v>
      </c>
      <c r="BH2" t="e">
        <f>REN_ERR_Geothermal</f>
        <v>#REF!</v>
      </c>
      <c r="BI2" t="e">
        <f>REN_ERR_LandfillGas</f>
        <v>#REF!</v>
      </c>
      <c r="BJ2" t="e">
        <f>REN_ERR_SewageGas</f>
        <v>#REF!</v>
      </c>
      <c r="BK2" t="e">
        <f>REN_ERR_Solar</f>
        <v>#REF!</v>
      </c>
      <c r="BL2" t="e">
        <f>REN_ERR_Water</f>
        <v>#REF!</v>
      </c>
      <c r="BM2" t="e">
        <f>REN_ERR_Wind</f>
        <v>#REF!</v>
      </c>
      <c r="BN2" t="e">
        <f>REN_ERR_WOT</f>
        <v>#REF!</v>
      </c>
      <c r="BO2" t="e">
        <f>REN_Expenditure_Amount_2014</f>
        <v>#REF!</v>
      </c>
      <c r="BP2" t="e">
        <f>REN_Expenditure_Percent_2014</f>
        <v>#REF!</v>
      </c>
      <c r="BQ2" t="e">
        <f>REN_Load_2012</f>
        <v>#REF!</v>
      </c>
      <c r="BR2" t="e">
        <f>REN_Load_2013</f>
        <v>#REF!</v>
      </c>
      <c r="BS2" t="e">
        <f>REN_REC_ApprenticeLabor</f>
        <v>#REF!</v>
      </c>
      <c r="BT2" t="e">
        <f>REN_REC_Biodiesel</f>
        <v>#REF!</v>
      </c>
      <c r="BU2" t="e">
        <f>REN_REC_Biomass</f>
        <v>#REF!</v>
      </c>
      <c r="BV2" t="e">
        <f>REN_REC_DistributedGeneration</f>
        <v>#REF!</v>
      </c>
      <c r="BW2" t="e">
        <f>REN_REC_Geothermal</f>
        <v>#REF!</v>
      </c>
      <c r="BX2" t="e">
        <f>REN_REC_LandfillGas</f>
        <v>#REF!</v>
      </c>
      <c r="BY2" t="e">
        <f>REN_REC_SewageGas</f>
        <v>#REF!</v>
      </c>
      <c r="BZ2" t="e">
        <f>REN_REC_Solar</f>
        <v>#REF!</v>
      </c>
      <c r="CA2" t="e">
        <f>REN_REC_Wind</f>
        <v>#REF!</v>
      </c>
      <c r="CB2" t="e">
        <f>REN_REC_WOT</f>
        <v>#REF!</v>
      </c>
      <c r="CC2" t="e">
        <f>REN_RetailRevenueRequirement_2014</f>
        <v>#REF!</v>
      </c>
      <c r="CD2" t="e">
        <f>REN_Submittal_Date</f>
        <v>#REF!</v>
      </c>
      <c r="CE2" t="e">
        <f>REN_Total_2014</f>
        <v>#REF!</v>
      </c>
      <c r="CF2" t="e">
        <f>REN_Utility_Name</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www.w3.org/XML/1998/namespace"/>
    <ds:schemaRef ds:uri="http://schemas.openxmlformats.org/package/2006/metadata/core-properties"/>
    <ds:schemaRef ds:uri="http://purl.org/dc/elements/1.1/"/>
    <ds:schemaRef ds:uri="http://schemas.microsoft.com/office/2006/metadata/properties"/>
    <ds:schemaRef ds:uri="http://purl.org/dc/dcmitype/"/>
    <ds:schemaRef ds:uri="http://schemas.microsoft.com/sharepoint/v3"/>
    <ds:schemaRef ds:uri="59db5950-9a61-4c09-b3e2-fe6d472fba04"/>
    <ds:schemaRef ds:uri="http://schemas.microsoft.com/office/2006/documentManagement/types"/>
    <ds:schemaRef ds:uri="http://schemas.microsoft.com/office/infopath/2007/PartnerControls"/>
    <ds:schemaRef ds:uri="63979cc8-f6b2-4ee6-8bed-630b6048d169"/>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'Conservation Report'!CON_2012_Agriculture_Expend</vt:lpstr>
      <vt:lpstr>'Conservation Report'!CON_2012_Agriculture_MWH</vt:lpstr>
      <vt:lpstr>'Conservation Report'!CON_2012_Commercial_Expend</vt:lpstr>
      <vt:lpstr>'Conservation Report'!CON_2012_Commercial_MWH</vt:lpstr>
      <vt:lpstr>'Conservation Report'!CON_2012_Distribution_Expend</vt:lpstr>
      <vt:lpstr>'Conservation Report'!CON_2012_Distribution_MWH</vt:lpstr>
      <vt:lpstr>'Conservation Report'!CON_2012_Expenditures</vt:lpstr>
      <vt:lpstr>'Conservation Report'!CON_2012_Industrial_Expend</vt:lpstr>
      <vt:lpstr>'Conservation Report'!CON_2012_Industrial_MWH</vt:lpstr>
      <vt:lpstr>'Conservation Report'!CON_2012_MWH</vt:lpstr>
      <vt:lpstr>'Conservation Report'!CON_2012_NEEA_Expend</vt:lpstr>
      <vt:lpstr>'Conservation Report'!CON_2012_NEEA_MWH</vt:lpstr>
      <vt:lpstr>'Conservation Report'!CON_2012_OtherSector1_Expend</vt:lpstr>
      <vt:lpstr>'Conservation Report'!CON_2012_OtherSector1_MWH</vt:lpstr>
      <vt:lpstr>'Conservation Report'!CON_2012_OtherSector2_Expend</vt:lpstr>
      <vt:lpstr>'Conservation Report'!CON_2012_OtherSector2_MWH</vt:lpstr>
      <vt:lpstr>'Conservation Report'!CON_2012_Production_Expend</vt:lpstr>
      <vt:lpstr>'Conservation Report'!CON_2012_Production_MWH</vt:lpstr>
      <vt:lpstr>'Conservation Report'!CON_2012_Program1_Expend</vt:lpstr>
      <vt:lpstr>'Conservation Report'!CON_2012_Program2_Expend</vt:lpstr>
      <vt:lpstr>'Conservation Report'!CON_2012_Residential_Expend</vt:lpstr>
      <vt:lpstr>'Conservation Report'!CON_2012_Residential_MWH</vt:lpstr>
      <vt:lpstr>'Conservation Report'!CON_2013_Agriculture_Expend</vt:lpstr>
      <vt:lpstr>'Conservation Report'!CON_2013_Agriculture_MWH</vt:lpstr>
      <vt:lpstr>'Conservation Report'!CON_2013_Commercial_Expend</vt:lpstr>
      <vt:lpstr>'Conservation Report'!CON_2013_Commercial_MWH</vt:lpstr>
      <vt:lpstr>'Conservation Report'!CON_2013_Distribution_Expend</vt:lpstr>
      <vt:lpstr>'Conservation Report'!CON_2013_Distribution_MWH</vt:lpstr>
      <vt:lpstr>'Conservation Report'!CON_2013_Expenditures</vt:lpstr>
      <vt:lpstr>'Conservation Report'!CON_2013_Industrial_Expend</vt:lpstr>
      <vt:lpstr>'Conservation Report'!CON_2013_Industrial_MWH</vt:lpstr>
      <vt:lpstr>'Conservation Report'!CON_2013_MWH</vt:lpstr>
      <vt:lpstr>'Conservation Report'!CON_2013_NEEA_Expend</vt:lpstr>
      <vt:lpstr>'Conservation Report'!CON_2013_NEEA_MWH</vt:lpstr>
      <vt:lpstr>'Conservation Report'!CON_2013_OtherSector1_Expend</vt:lpstr>
      <vt:lpstr>'Conservation Report'!CON_2013_OtherSector1_MWH</vt:lpstr>
      <vt:lpstr>'Conservation Report'!CON_2013_OtherSector2_Expend</vt:lpstr>
      <vt:lpstr>'Conservation Report'!CON_2013_OtherSector2_MWH</vt:lpstr>
      <vt:lpstr>'Conservation Report'!CON_2013_Production_Expend</vt:lpstr>
      <vt:lpstr>'Conservation Report'!CON_2013_Production_MWH</vt:lpstr>
      <vt:lpstr>'Conservation Report'!CON_2013_Program1_Expend</vt:lpstr>
      <vt:lpstr>'Conservation Report'!CON_2013_Program2_Expend</vt:lpstr>
      <vt:lpstr>'Conservation Report'!CON_2013_Residential_Expend</vt:lpstr>
      <vt:lpstr>'Conservation Report'!CON_2013_Residential_MWH</vt:lpstr>
      <vt:lpstr>'Conservation Report'!CON_Contact_Name</vt:lpstr>
      <vt:lpstr>'Conservation Report'!CON_Email</vt:lpstr>
      <vt:lpstr>'Conservation Report'!CON_Phone</vt:lpstr>
      <vt:lpstr>'Conservation Report'!CON_Potential_2012_2021</vt:lpstr>
      <vt:lpstr>'Conservation Report'!CON_Potential_2014_2023</vt:lpstr>
      <vt:lpstr>'Conservation Report'!CON_Report_Date</vt:lpstr>
      <vt:lpstr>'Conservation Report'!CON_Target_2012_2013</vt:lpstr>
      <vt:lpstr>'Conservation Report'!CON_Target_2014_2015</vt:lpstr>
      <vt:lpstr>'Conservation Report'!CON_Utility_Name</vt:lpstr>
      <vt:lpstr>'Conservation Report'!Print_Area</vt:lpstr>
      <vt:lpstr>'Renewables Report'!Print_Area</vt:lpstr>
      <vt:lpstr>'Renewables Report'!REN_Contact_Name</vt:lpstr>
      <vt:lpstr>'Renewables Report'!REN_Email</vt:lpstr>
      <vt:lpstr>'Renewables Report'!REN_ERR_ApprenticeLabor</vt:lpstr>
      <vt:lpstr>'Renewables Report'!REN_ERR_Biodiesel</vt:lpstr>
      <vt:lpstr>'Renewables Report'!REN_ERR_Biomass</vt:lpstr>
      <vt:lpstr>'Renewables Report'!REN_ERR_Geothermal</vt:lpstr>
      <vt:lpstr>'Renewables Report'!REN_ERR_LandfillGas</vt:lpstr>
      <vt:lpstr>'Renewables Report'!REN_ERR_SewageGas</vt:lpstr>
      <vt:lpstr>'Renewables Report'!REN_ERR_Solar</vt:lpstr>
      <vt:lpstr>'Renewables Report'!REN_ERR_Water</vt:lpstr>
      <vt:lpstr>'Renewables Report'!REN_ERR_Wind</vt:lpstr>
      <vt:lpstr>'Renewables Report'!REN_ERR_WOT</vt:lpstr>
      <vt:lpstr>'Renewables Report'!REN_Expenditure_Amount_2014</vt:lpstr>
      <vt:lpstr>'Renewables Report'!REN_Expenditure_Percent_2014</vt:lpstr>
      <vt:lpstr>'Renewables Report'!REN_Load_2012</vt:lpstr>
      <vt:lpstr>'Renewables Report'!REN_Load_2013</vt:lpstr>
      <vt:lpstr>'Renewables Report'!REN_REC_ApprenticeLabor</vt:lpstr>
      <vt:lpstr>'Renewables Report'!REN_REC_Biodiesel</vt:lpstr>
      <vt:lpstr>'Renewables Report'!REN_REC_Biomass</vt:lpstr>
      <vt:lpstr>'Renewables Report'!REN_REC_DistributedGeneration</vt:lpstr>
      <vt:lpstr>'Renewables Report'!REN_REC_Geothermal</vt:lpstr>
      <vt:lpstr>'Renewables Report'!REN_REC_LandfillGas</vt:lpstr>
      <vt:lpstr>'Renewables Report'!REN_REC_SewageGas</vt:lpstr>
      <vt:lpstr>'Renewables Report'!REN_REC_Solar</vt:lpstr>
      <vt:lpstr>'Renewables Report'!REN_REC_Wind</vt:lpstr>
      <vt:lpstr>'Renewables Report'!REN_REC_WOT</vt:lpstr>
      <vt:lpstr>'Renewables Report'!REN_RetailRevenueRequirement_2014</vt:lpstr>
      <vt:lpstr>'Renewables Report'!REN_Submittal_Date</vt:lpstr>
      <vt:lpstr>'Renewables Report'!REN_Total_2014</vt:lpstr>
      <vt:lpstr>'Renewables Report'!REN_Utility_Name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2014-05-21T17:38:29Z</cp:lastPrinted>
  <dcterms:created xsi:type="dcterms:W3CDTF">2012-03-20T21:01:26Z</dcterms:created>
  <dcterms:modified xsi:type="dcterms:W3CDTF">2014-06-03T15:47:03Z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