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30" yWindow="-30" windowWidth="15030" windowHeight="6075" tabRatio="719"/>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N11" i="16" l="1"/>
  <c r="N5" i="21" l="1"/>
  <c r="N5" i="20"/>
  <c r="N5" i="16"/>
  <c r="A2" i="19" l="1"/>
  <c r="CF2" i="19"/>
  <c r="CD2" i="19"/>
  <c r="CC2" i="19"/>
  <c r="BR2" i="19"/>
  <c r="BQ2" i="19"/>
  <c r="BO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N13" i="16" l="1"/>
  <c r="BP2" i="19" s="1"/>
  <c r="C18" i="16" l="1"/>
  <c r="BL2" i="19" s="1"/>
  <c r="D18" i="16"/>
  <c r="BM2" i="19" s="1"/>
  <c r="E18" i="16"/>
  <c r="BK2" i="19" s="1"/>
  <c r="F18" i="16"/>
  <c r="BH2" i="19" s="1"/>
  <c r="G18" i="16"/>
  <c r="BI2" i="19" s="1"/>
  <c r="H18" i="16"/>
  <c r="BN2" i="19" s="1"/>
  <c r="I18" i="16"/>
  <c r="BJ2" i="19" s="1"/>
  <c r="J18" i="16"/>
  <c r="BF2" i="19" s="1"/>
  <c r="K18" i="16"/>
  <c r="BG2" i="19" s="1"/>
  <c r="L18" i="16"/>
  <c r="BE2" i="19" s="1"/>
  <c r="J6" i="18" l="1"/>
  <c r="H6" i="18"/>
  <c r="C31" i="18"/>
  <c r="H29" i="18" l="1"/>
  <c r="AD2" i="19" s="1"/>
  <c r="G29" i="18"/>
  <c r="AG2" i="19" s="1"/>
  <c r="E29" i="18"/>
  <c r="H2" i="19" s="1"/>
  <c r="D29" i="18"/>
  <c r="K2" i="19" s="1"/>
  <c r="H8" i="18" l="1"/>
  <c r="M19" i="16" l="1"/>
  <c r="BV2" i="19" s="1"/>
  <c r="M20" i="16" l="1"/>
  <c r="F98" i="16"/>
  <c r="L19" i="16"/>
  <c r="BS2" i="19" s="1"/>
  <c r="F66" i="16"/>
  <c r="F36" i="16"/>
  <c r="K19" i="16"/>
  <c r="BU2" i="19" s="1"/>
  <c r="J19" i="16"/>
  <c r="BT2" i="19" s="1"/>
  <c r="I19" i="16"/>
  <c r="BY2" i="19" s="1"/>
  <c r="H19" i="16"/>
  <c r="CB2" i="19" s="1"/>
  <c r="G19" i="16"/>
  <c r="BX2" i="19" s="1"/>
  <c r="F19" i="16"/>
  <c r="BW2" i="19" s="1"/>
  <c r="E19" i="16"/>
  <c r="BZ2" i="19" s="1"/>
  <c r="D19" i="16"/>
  <c r="CA2" i="19" s="1"/>
  <c r="C20" i="16"/>
  <c r="N7" i="16"/>
  <c r="F20" i="16" l="1"/>
  <c r="J20" i="16"/>
  <c r="E20" i="16"/>
  <c r="G20" i="16"/>
  <c r="I20" i="16"/>
  <c r="H20" i="16"/>
  <c r="L20" i="16"/>
  <c r="D20" i="16"/>
  <c r="K20" i="16"/>
  <c r="N8" i="16" l="1"/>
  <c r="B2" i="19" l="1"/>
  <c r="CE2" i="19"/>
</calcChain>
</file>

<file path=xl/sharedStrings.xml><?xml version="1.0" encoding="utf-8"?>
<sst xmlns="http://schemas.openxmlformats.org/spreadsheetml/2006/main" count="315" uniqueCount="228">
  <si>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</si>
  <si>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</si>
  <si>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</si>
  <si>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</si>
  <si>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</si>
  <si>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</si>
  <si>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</si>
  <si>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</si>
  <si>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</si>
  <si>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</si>
  <si>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</si>
  <si>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</si>
  <si>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</si>
  <si>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</si>
  <si>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</si>
  <si>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</si>
  <si>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</si>
  <si>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</si>
  <si>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</si>
  <si>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</si>
  <si>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</si>
  <si>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</si>
  <si>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</si>
  <si>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</si>
  <si>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</si>
  <si>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</si>
  <si>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</si>
  <si>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</si>
  <si>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</si>
  <si>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</si>
  <si>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</si>
  <si>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</si>
  <si>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</si>
  <si>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</si>
  <si>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</si>
  <si>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</si>
  <si>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</si>
  <si>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</si>
  <si>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</si>
  <si>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</si>
  <si>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</si>
  <si>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</si>
  <si>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</si>
  <si>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</si>
  <si>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</si>
  <si>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</si>
  <si>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</si>
  <si>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</si>
  <si>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</si>
  <si>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</si>
  <si>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</si>
  <si>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</si>
  <si>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</si>
  <si>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</si>
  <si>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</si>
  <si>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</si>
  <si>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</si>
  <si>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</si>
  <si>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</si>
  <si>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</si>
  <si>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</si>
  <si>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</si>
  <si>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</si>
  <si>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</si>
  <si>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</si>
  <si>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</si>
  <si>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</si>
  <si>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</si>
  <si>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</si>
  <si>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</si>
  <si>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</si>
  <si>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</si>
  <si>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</si>
  <si>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</si>
  <si>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</si>
  <si>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</si>
  <si>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</si>
  <si>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</si>
  <si>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</si>
  <si>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</si>
  <si>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</si>
  <si>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</si>
  <si>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</si>
  <si>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</si>
  <si>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</si>
  <si>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</si>
  <si>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</si>
  <si>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</si>
  <si>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</si>
  <si>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</si>
  <si>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</si>
  <si>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</si>
  <si>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</si>
  <si>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</si>
  <si>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</si>
  <si>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</si>
  <si>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</si>
  <si>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</si>
  <si>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</si>
  <si>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</si>
  <si>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</si>
  <si>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</si>
  <si>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</si>
  <si>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</si>
  <si>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</si>
  <si>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</si>
  <si>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</si>
  <si>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</si>
  <si>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</si>
  <si>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</si>
  <si>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</si>
  <si>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</si>
  <si>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</si>
  <si>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</si>
  <si>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</si>
  <si>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</si>
  <si>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</si>
  <si>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</si>
  <si>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</si>
  <si>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</si>
  <si>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</si>
  <si>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</si>
  <si>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</si>
  <si>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</si>
  <si>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</si>
  <si>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</si>
  <si>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</si>
  <si>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</si>
  <si>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</si>
  <si>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</si>
  <si>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</si>
  <si>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</si>
  <si>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</si>
  <si>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</si>
  <si>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</si>
  <si>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</si>
  <si>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</si>
  <si>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</si>
  <si>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</si>
  <si>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</si>
  <si>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</si>
  <si>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</si>
  <si>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</si>
  <si>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</si>
  <si>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</si>
  <si>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</si>
  <si>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</si>
  <si>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</si>
  <si>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</si>
  <si>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</si>
  <si>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</si>
  <si>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</si>
  <si>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</si>
  <si>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</si>
  <si>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</si>
  <si>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</si>
  <si>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</si>
  <si>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</si>
  <si>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</si>
  <si>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</si>
  <si>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</si>
  <si>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</si>
  <si>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</si>
  <si>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</si>
  <si>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</si>
  <si>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</si>
  <si>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</si>
  <si>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</si>
  <si>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</si>
  <si>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</si>
  <si>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</si>
  <si>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</si>
  <si>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</si>
  <si>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</si>
  <si>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</si>
  <si>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</si>
  <si>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</si>
  <si>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</si>
  <si>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</si>
  <si>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</si>
  <si>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</si>
  <si>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</si>
  <si>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</si>
  <si>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</si>
  <si>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</si>
  <si>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</si>
  <si>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</si>
  <si>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</si>
  <si>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</si>
  <si>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</si>
  <si>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</si>
  <si>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</si>
  <si>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</si>
  <si>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</si>
  <si>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</si>
  <si>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</si>
  <si>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</si>
  <si>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</si>
  <si>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</si>
  <si>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</si>
  <si>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</si>
  <si>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</si>
  <si>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</si>
  <si>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</si>
  <si>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</si>
  <si>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</si>
  <si>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</si>
  <si>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</si>
  <si>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</si>
  <si>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</si>
  <si>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</si>
  <si>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</si>
  <si>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</si>
  <si>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</si>
  <si>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</si>
  <si>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</si>
  <si>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</si>
  <si>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</si>
  <si>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</si>
  <si>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</si>
  <si>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Chelan County PUD</t>
  </si>
  <si>
    <t>Melissa Lyons/Energy Trading</t>
  </si>
  <si>
    <t>509.661.4369</t>
  </si>
  <si>
    <t>melissa.lyons@chelanpud.org</t>
  </si>
  <si>
    <t>Rocky Reach Hydroelectric Facility</t>
  </si>
  <si>
    <t>Andrew Grassell/  Conservation</t>
  </si>
  <si>
    <t>509-661-4626</t>
  </si>
  <si>
    <t>andrew.grassell@chelanpud.org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</si>
</sst>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6"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5">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2" xfId="0" applyFont="1" applyBorder="1" applyAlignment="1">
      <alignment vertical="center" wrapText="1"/>
    </xf>
    <xf numFmtId="0" fontId="26" fillId="0" borderId="43" xfId="0" applyFont="1" applyBorder="1" applyAlignment="1">
      <alignment vertical="center" wrapText="1"/>
    </xf>
    <xf numFmtId="0" fontId="20" fillId="0" borderId="43" xfId="0" applyFont="1" applyBorder="1" applyAlignment="1">
      <alignment vertical="center" wrapText="1"/>
    </xf>
    <xf numFmtId="0" fontId="20" fillId="0" borderId="44" xfId="0" applyFont="1" applyBorder="1" applyAlignment="1">
      <alignment vertical="center" wrapText="1"/>
    </xf>
    <xf numFmtId="0" fontId="28" fillId="8" borderId="45" xfId="0" applyFont="1" applyFill="1" applyBorder="1" applyAlignment="1">
      <alignment vertical="center"/>
    </xf>
    <xf numFmtId="0" fontId="28" fillId="8" borderId="46" xfId="0" applyFont="1" applyFill="1" applyBorder="1" applyAlignment="1">
      <alignment vertical="center"/>
    </xf>
    <xf numFmtId="0" fontId="30" fillId="8" borderId="43" xfId="0" applyFont="1" applyFill="1" applyBorder="1" applyAlignment="1">
      <alignment vertical="center" wrapText="1"/>
    </xf>
    <xf numFmtId="0" fontId="30" fillId="8" borderId="46" xfId="0" applyFont="1" applyFill="1" applyBorder="1" applyAlignment="1">
      <alignment vertical="center" wrapText="1"/>
    </xf>
    <xf numFmtId="0" fontId="28" fillId="8" borderId="43" xfId="0" applyFont="1" applyFill="1" applyBorder="1" applyAlignment="1">
      <alignment vertical="center" wrapText="1"/>
    </xf>
    <xf numFmtId="0" fontId="30" fillId="8" borderId="46" xfId="0" applyFont="1" applyFill="1" applyBorder="1" applyAlignment="1">
      <alignment vertical="center"/>
    </xf>
    <xf numFmtId="0" fontId="28" fillId="8" borderId="46" xfId="0" applyFont="1" applyFill="1" applyBorder="1" applyAlignment="1">
      <alignment vertical="center" wrapText="1"/>
    </xf>
    <xf numFmtId="0" fontId="26" fillId="8" borderId="46" xfId="0" applyFont="1" applyFill="1" applyBorder="1" applyAlignment="1">
      <alignment vertical="center"/>
    </xf>
    <xf numFmtId="0" fontId="28" fillId="8" borderId="43" xfId="0" applyFont="1" applyFill="1" applyBorder="1" applyAlignment="1">
      <alignment horizontal="left" vertical="center" wrapText="1" indent="5"/>
    </xf>
    <xf numFmtId="0" fontId="28" fillId="8" borderId="46" xfId="0" applyFont="1" applyFill="1" applyBorder="1" applyAlignment="1">
      <alignment horizontal="left" vertical="center" wrapText="1" indent="5"/>
    </xf>
    <xf numFmtId="0" fontId="30" fillId="8" borderId="43" xfId="0" applyFont="1" applyFill="1" applyBorder="1" applyAlignment="1">
      <alignment vertical="center"/>
    </xf>
    <xf numFmtId="0" fontId="32" fillId="8" borderId="43" xfId="0" applyFont="1" applyFill="1" applyBorder="1" applyAlignment="1">
      <alignment horizontal="left" vertical="center" wrapText="1" indent="5"/>
    </xf>
    <xf numFmtId="0" fontId="32" fillId="8" borderId="46" xfId="0" applyFont="1" applyFill="1" applyBorder="1" applyAlignment="1">
      <alignment horizontal="left" vertical="center" indent="5"/>
    </xf>
    <xf numFmtId="0" fontId="0" fillId="8" borderId="43" xfId="0" applyFill="1" applyBorder="1" applyAlignment="1">
      <alignment vertical="center" wrapText="1"/>
    </xf>
    <xf numFmtId="0" fontId="32" fillId="8" borderId="46" xfId="0" applyFont="1" applyFill="1" applyBorder="1" applyAlignment="1">
      <alignment horizontal="left" vertical="center" wrapText="1" indent="5"/>
    </xf>
    <xf numFmtId="0" fontId="31" fillId="8" borderId="46" xfId="0" applyFont="1" applyFill="1" applyBorder="1" applyAlignment="1">
      <alignment vertical="center" wrapText="1"/>
    </xf>
    <xf numFmtId="0" fontId="30" fillId="8" borderId="44" xfId="0" applyFont="1" applyFill="1" applyBorder="1" applyAlignment="1">
      <alignment vertical="center"/>
    </xf>
    <xf numFmtId="0" fontId="10" fillId="2" borderId="0" xfId="0" applyNumberFormat="1" applyFont="1" applyFill="1"/>
    <xf numFmtId="0" fontId="0" fillId="0" borderId="0" xfId="0" applyNumberFormat="1"/>
    <xf numFmtId="168" fontId="35" fillId="8" borderId="46" xfId="0" applyNumberFormat="1" applyFont="1" applyFill="1" applyBorder="1" applyAlignment="1">
      <alignment horizontal="left" vertical="center"/>
    </xf>
    <xf numFmtId="165" fontId="10" fillId="4" borderId="12" xfId="1" applyNumberFormat="1" applyFont="1" applyFill="1" applyBorder="1" applyAlignment="1">
      <alignment horizontal="center"/>
    </xf>
    <xf numFmtId="165" fontId="10" fillId="3" borderId="37" xfId="1" applyNumberFormat="1" applyFont="1" applyFill="1" applyBorder="1" applyAlignment="1">
      <alignment horizontal="center"/>
    </xf>
    <xf numFmtId="165" fontId="10" fillId="3" borderId="13" xfId="1" applyNumberFormat="1" applyFont="1" applyFill="1" applyBorder="1" applyAlignment="1">
      <alignment horizontal="center"/>
    </xf>
    <xf numFmtId="165" fontId="10" fillId="5" borderId="6" xfId="1" applyNumberFormat="1" applyFont="1" applyFill="1" applyBorder="1" applyAlignment="1">
      <alignment horizontal="center"/>
    </xf>
    <xf numFmtId="169" fontId="10" fillId="5" borderId="24" xfId="1" applyNumberFormat="1" applyFont="1" applyFill="1" applyBorder="1" applyAlignment="1">
      <alignment horizontal="right"/>
    </xf>
    <xf numFmtId="165" fontId="1" fillId="5" borderId="6" xfId="1" applyNumberFormat="1" applyFont="1" applyFill="1" applyBorder="1" applyAlignment="1">
      <alignment horizontal="center"/>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169" fontId="10" fillId="5" borderId="24" xfId="1" applyNumberFormat="1" applyFont="1" applyFill="1" applyBorder="1" applyAlignment="1">
      <alignment horizontal="right"/>
    </xf>
    <xf numFmtId="165" fontId="1" fillId="5" borderId="6" xfId="1" applyNumberFormat="1" applyFont="1" applyFill="1" applyBorder="1" applyAlignment="1">
      <alignment horizontal="center"/>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2" xfId="0" applyFont="1" applyFill="1" applyBorder="1" applyAlignment="1">
      <alignment horizontal="center"/>
    </xf>
    <xf numFmtId="0" fontId="11" fillId="2" borderId="31" xfId="0" applyFont="1" applyFill="1" applyBorder="1" applyAlignment="1"/>
    <xf numFmtId="0" fontId="11" fillId="2" borderId="40"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chelanpud.org/7397.html" TargetMode="External"/></Relationships>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a:hlinkClick xmlns:r="http://schemas.openxmlformats.org/officeDocument/2006/relationships" r:id="rId1"/>
        </xdr:cNvPr>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Chelan PUD</a:t>
          </a:r>
          <a:r>
            <a:rPr lang="en-US" sz="1100" baseline="0">
              <a:solidFill>
                <a:schemeClr val="dk1"/>
              </a:solidFill>
              <a:latin typeface="+mn-lt"/>
              <a:ea typeface="+mn-ea"/>
              <a:cs typeface="+mn-cs"/>
            </a:rPr>
            <a:t> used the Utility Analysis Option:WAC194-37-070(6) in developing its 10-year plan and 2012-2013 two-year target.  The conservation potential assessment can be found at http://chelanpud.org/7397.html. </a:t>
          </a:r>
          <a:endParaRPr lang="en-US"/>
        </a:p>
        <a:p>
          <a:pPr fontAlgn="base"/>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Chelan County PUD Board of Commissioners held a public hearing on establishing 10- and two-year conservation targets for the next biennium at 1 p.m. Dec. 5 in the boardroom of the PUD Headquarters Building, 327 N. Wenatchee Ave., Wenatchee. A presentation to the board on the District's conservation potential and setting the targets took place prior to that meeting, on Monday, Nov. 21, also in the boardroom. For more information, visit http://chelanpud.org/7397.html. This website will provide the reader with all the information associated with Chelan PUD's setting of the 2012-2013 conservation target.  </a:t>
          </a:r>
          <a:endParaRPr lang="en-US"/>
        </a:p>
        <a:p>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113</xdr:row>
      <xdr:rowOff>142875</xdr:rowOff>
    </xdr:to>
    <xdr:sp macro="" textlink="">
      <xdr:nvSpPr>
        <xdr:cNvPr id="2" name="TextBox 1"/>
        <xdr:cNvSpPr txBox="1"/>
      </xdr:nvSpPr>
      <xdr:spPr>
        <a:xfrm>
          <a:off x="180974" y="20135850"/>
          <a:ext cx="11201400" cy="23622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The </a:t>
          </a:r>
          <a:r>
            <a:rPr lang="en-US" baseline="0"/>
            <a:t>District has invested over $211M in the major equipment upgrades (see Incremental Hydro Details) completed at </a:t>
          </a:r>
          <a:r>
            <a:rPr lang="en-US" sz="1100" baseline="0">
              <a:solidFill>
                <a:schemeClr val="dk1"/>
              </a:solidFill>
              <a:latin typeface="+mn-lt"/>
              <a:ea typeface="+mn-ea"/>
              <a:cs typeface="+mn-cs"/>
            </a:rPr>
            <a:t>Rocky Reach Hydroelectric Facility (Rocky Reach) </a:t>
          </a:r>
          <a:r>
            <a:rPr lang="en-US" baseline="0"/>
            <a:t> since March 31, 1999.  This District used the annual capitalized costs of the efficiency improvements to calculate the % of revenue requirement invested in renewables.</a:t>
          </a:r>
        </a:p>
        <a:p>
          <a:endParaRPr lang="en-US" baseline="0"/>
        </a:p>
        <a:p>
          <a:r>
            <a:rPr lang="en-US" baseline="0"/>
            <a:t>Rocky Reach generator/turbine efficiency gains:  $2.1M x 43.46%* x 20%** = $182,260</a:t>
          </a:r>
        </a:p>
        <a:p>
          <a:r>
            <a:rPr lang="en-US" baseline="0"/>
            <a:t>Rocky Reach juvenile fish bypass:  $7.1M x 43.46%* = $3,100,147</a:t>
          </a:r>
        </a:p>
        <a:p>
          <a:endParaRPr lang="en-US" baseline="0"/>
        </a:p>
        <a:p>
          <a:r>
            <a:rPr lang="en-US" baseline="0"/>
            <a:t>*43.46% is the District's share of the annual depreciation cost after adjusting for power purchaser agreements</a:t>
          </a:r>
        </a:p>
        <a:p>
          <a:r>
            <a:rPr lang="en-US" baseline="0"/>
            <a:t>**20% is the portion of the generator/turbine costs attributable to the incremental efficiency gains</a:t>
          </a:r>
        </a:p>
        <a:p>
          <a:endParaRPr lang="en-US" baseline="0"/>
        </a:p>
        <a:p>
          <a:r>
            <a:rPr lang="en-US" baseline="0"/>
            <a:t>Note:  For the 2014 progress report, the District did not include any of the Rocky Reach O&amp;M costs in its calculation of renewable expenditures.  The 2014 budget for Rocky Reach O&amp;M is $77.2M.  In addition, the District did not report any of the costs associated with efficiency improvements at Rock Island Hydroelectric Facility or Lake Chelan Hydroelectric Facility as efficiency gains from those projects are not being used for 2014 compliance.  However, the 2014 combined O&amp;M budget for those projects is $88.6M and there are substantial capitalized costs associated with both of these projects.  All of the foregoing costs (O&amp;M and capital costs) are relevant to the overall annual cost of renewable compliance.</a:t>
          </a:r>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i="0">
              <a:solidFill>
                <a:schemeClr val="dk1"/>
              </a:solidFill>
              <a:latin typeface="+mn-lt"/>
              <a:ea typeface="+mn-ea"/>
              <a:cs typeface="+mn-cs"/>
            </a:rPr>
            <a:t>Incremental Hydro Details:</a:t>
          </a:r>
          <a:endParaRPr lang="en-US"/>
        </a:p>
        <a:p>
          <a:r>
            <a:rPr lang="en-US" sz="1100" i="0">
              <a:solidFill>
                <a:schemeClr val="dk1"/>
              </a:solidFill>
              <a:latin typeface="+mn-lt"/>
              <a:ea typeface="+mn-ea"/>
              <a:cs typeface="+mn-cs"/>
            </a:rPr>
            <a:t>The District completed a major upgrade of the 11 unit Rocky Reach Hydroelectric Project in 2006.  Since the qualifying date of March 31, 1999, the District replaced five turbines and ten generators and modified operating protocols which have resulted in “qualified incremental hydropower efficiency improvements.”  In addition, the District constructed a juvenile fish bypass system, which was approved by FERC in 2002 and completed in time for the juvenile fish spring migration in 2003.  </a:t>
          </a:r>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andrew.grassell@chelan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melissa.lyons@chelan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tabSelected="1" workbookViewId="0">
      <selection activeCell="C15" sqref="C15"/>
    </sheetView>
  </sheetViews>
  <sheetFormatPr defaultRowHeight="15" x14ac:dyDescent="0.25"/>
  <cols>
    <col min="1" max="1" width="135.140625" customWidth="1"/>
    <col min="14" max="14" width="11.7109375" customWidth="1"/>
  </cols>
  <sheetData>
    <row r="1" spans="1:14" ht="18.75" x14ac:dyDescent="0.25">
      <c r="A1" s="125" t="s">
        <v>178</v>
      </c>
    </row>
    <row r="2" spans="1:14" x14ac:dyDescent="0.25">
      <c r="A2" s="144" t="s">
        <v>219</v>
      </c>
    </row>
    <row r="3" spans="1:14" x14ac:dyDescent="0.25">
      <c r="A3" s="126"/>
      <c r="N3" s="143"/>
    </row>
    <row r="4" spans="1:14" x14ac:dyDescent="0.25">
      <c r="A4" s="127" t="s">
        <v>179</v>
      </c>
    </row>
    <row r="5" spans="1:14" x14ac:dyDescent="0.25">
      <c r="A5" s="127" t="s">
        <v>180</v>
      </c>
      <c r="N5">
        <f>IF(REN_Load_2012+REN_Load_2013&gt;0,AVERAGE(REN_Load_2012,REN_Load_2013),0)</f>
        <v>1582313.5</v>
      </c>
    </row>
    <row r="6" spans="1:14" x14ac:dyDescent="0.25">
      <c r="A6" s="128" t="s">
        <v>181</v>
      </c>
    </row>
    <row r="7" spans="1:14" x14ac:dyDescent="0.25">
      <c r="A7" s="126"/>
    </row>
    <row r="8" spans="1:14" ht="28.5" x14ac:dyDescent="0.25">
      <c r="A8" s="129" t="s">
        <v>182</v>
      </c>
    </row>
    <row r="9" spans="1:14" ht="28.5" x14ac:dyDescent="0.25">
      <c r="A9" s="129" t="s">
        <v>183</v>
      </c>
    </row>
    <row r="10" spans="1:14" x14ac:dyDescent="0.25">
      <c r="A10" s="129"/>
    </row>
    <row r="11" spans="1:14" x14ac:dyDescent="0.25">
      <c r="A11" s="130" t="s">
        <v>184</v>
      </c>
    </row>
    <row r="12" spans="1:14" x14ac:dyDescent="0.25">
      <c r="A12" s="126"/>
    </row>
    <row r="13" spans="1:14" ht="72.75" x14ac:dyDescent="0.25">
      <c r="A13" s="131" t="s">
        <v>185</v>
      </c>
    </row>
    <row r="14" spans="1:14" x14ac:dyDescent="0.25">
      <c r="A14" s="126"/>
    </row>
    <row r="15" spans="1:14" ht="29.25" x14ac:dyDescent="0.25">
      <c r="A15" s="128" t="s">
        <v>186</v>
      </c>
    </row>
    <row r="16" spans="1:14" x14ac:dyDescent="0.25">
      <c r="A16" s="131"/>
    </row>
    <row r="17" spans="1:1" x14ac:dyDescent="0.25">
      <c r="A17" s="126"/>
    </row>
    <row r="18" spans="1:1" ht="18.75" x14ac:dyDescent="0.25">
      <c r="A18" s="132" t="s">
        <v>187</v>
      </c>
    </row>
    <row r="19" spans="1:1" x14ac:dyDescent="0.25">
      <c r="A19" s="127" t="s">
        <v>188</v>
      </c>
    </row>
    <row r="20" spans="1:1" ht="28.5" x14ac:dyDescent="0.25">
      <c r="A20" s="133" t="s">
        <v>189</v>
      </c>
    </row>
    <row r="21" spans="1:1" x14ac:dyDescent="0.25">
      <c r="A21" s="134" t="s">
        <v>190</v>
      </c>
    </row>
    <row r="22" spans="1:1" x14ac:dyDescent="0.25">
      <c r="A22" s="126"/>
    </row>
    <row r="23" spans="1:1" x14ac:dyDescent="0.25">
      <c r="A23" s="135" t="s">
        <v>191</v>
      </c>
    </row>
    <row r="24" spans="1:1" ht="29.25" x14ac:dyDescent="0.25">
      <c r="A24" s="136" t="s">
        <v>192</v>
      </c>
    </row>
    <row r="25" spans="1:1" x14ac:dyDescent="0.25">
      <c r="A25" s="137" t="s">
        <v>193</v>
      </c>
    </row>
    <row r="26" spans="1:1" x14ac:dyDescent="0.25">
      <c r="A26" s="126"/>
    </row>
    <row r="27" spans="1:1" ht="43.5" x14ac:dyDescent="0.25">
      <c r="A27" s="127" t="s">
        <v>194</v>
      </c>
    </row>
    <row r="28" spans="1:1" x14ac:dyDescent="0.25">
      <c r="A28" s="138"/>
    </row>
    <row r="29" spans="1:1" ht="42.75" x14ac:dyDescent="0.25">
      <c r="A29" s="131" t="s">
        <v>195</v>
      </c>
    </row>
    <row r="30" spans="1:1" x14ac:dyDescent="0.25">
      <c r="A30" s="126"/>
    </row>
    <row r="31" spans="1:1" ht="43.5" x14ac:dyDescent="0.25">
      <c r="A31" s="128" t="s">
        <v>196</v>
      </c>
    </row>
    <row r="32" spans="1:1" x14ac:dyDescent="0.25">
      <c r="A32" s="126"/>
    </row>
    <row r="33" spans="1:1" ht="57.75" x14ac:dyDescent="0.25">
      <c r="A33" s="127" t="s">
        <v>197</v>
      </c>
    </row>
    <row r="34" spans="1:1" x14ac:dyDescent="0.25">
      <c r="A34" s="129"/>
    </row>
    <row r="35" spans="1:1" ht="28.5" x14ac:dyDescent="0.25">
      <c r="A35" s="129" t="s">
        <v>198</v>
      </c>
    </row>
    <row r="36" spans="1:1" x14ac:dyDescent="0.25">
      <c r="A36" s="136" t="s">
        <v>199</v>
      </c>
    </row>
    <row r="37" spans="1:1" x14ac:dyDescent="0.25">
      <c r="A37" s="136" t="s">
        <v>200</v>
      </c>
    </row>
    <row r="38" spans="1:1" x14ac:dyDescent="0.25">
      <c r="A38" s="139" t="s">
        <v>201</v>
      </c>
    </row>
    <row r="39" spans="1:1" x14ac:dyDescent="0.25">
      <c r="A39" s="126"/>
    </row>
    <row r="40" spans="1:1" ht="29.25" x14ac:dyDescent="0.25">
      <c r="A40" s="128" t="s">
        <v>202</v>
      </c>
    </row>
    <row r="41" spans="1:1" x14ac:dyDescent="0.25">
      <c r="A41" s="126"/>
    </row>
    <row r="42" spans="1:1" ht="18.75" x14ac:dyDescent="0.25">
      <c r="A42" s="132" t="s">
        <v>203</v>
      </c>
    </row>
    <row r="43" spans="1:1" ht="42.75" x14ac:dyDescent="0.25">
      <c r="A43" s="131" t="s">
        <v>204</v>
      </c>
    </row>
    <row r="44" spans="1:1" x14ac:dyDescent="0.25">
      <c r="A44" s="126"/>
    </row>
    <row r="45" spans="1:1" ht="43.5" x14ac:dyDescent="0.25">
      <c r="A45" s="128" t="s">
        <v>205</v>
      </c>
    </row>
    <row r="46" spans="1:1" x14ac:dyDescent="0.25">
      <c r="A46" s="126"/>
    </row>
    <row r="47" spans="1:1" ht="43.5" x14ac:dyDescent="0.25">
      <c r="A47" s="128" t="s">
        <v>206</v>
      </c>
    </row>
    <row r="48" spans="1:1" x14ac:dyDescent="0.25">
      <c r="A48" s="126"/>
    </row>
    <row r="49" spans="1:1" ht="43.5" x14ac:dyDescent="0.25">
      <c r="A49" s="128" t="s">
        <v>207</v>
      </c>
    </row>
    <row r="50" spans="1:1" x14ac:dyDescent="0.25">
      <c r="A50" s="126"/>
    </row>
    <row r="51" spans="1:1" x14ac:dyDescent="0.25">
      <c r="A51" s="127" t="s">
        <v>208</v>
      </c>
    </row>
    <row r="52" spans="1:1" ht="42.75" x14ac:dyDescent="0.25">
      <c r="A52" s="131" t="s">
        <v>209</v>
      </c>
    </row>
    <row r="53" spans="1:1" x14ac:dyDescent="0.25">
      <c r="A53" s="126"/>
    </row>
    <row r="54" spans="1:1" ht="57.75" x14ac:dyDescent="0.25">
      <c r="A54" s="140" t="s">
        <v>210</v>
      </c>
    </row>
    <row r="55" spans="1:1" x14ac:dyDescent="0.25">
      <c r="A55" s="126"/>
    </row>
    <row r="56" spans="1:1" ht="72" x14ac:dyDescent="0.25">
      <c r="A56" s="128" t="s">
        <v>211</v>
      </c>
    </row>
    <row r="57" spans="1:1" x14ac:dyDescent="0.25">
      <c r="A57" s="126"/>
    </row>
    <row r="58" spans="1:1" ht="57.75" x14ac:dyDescent="0.25">
      <c r="A58" s="128" t="s">
        <v>212</v>
      </c>
    </row>
    <row r="59" spans="1:1" x14ac:dyDescent="0.25">
      <c r="A59" s="126"/>
    </row>
    <row r="60" spans="1:1" x14ac:dyDescent="0.25">
      <c r="A60" s="127" t="s">
        <v>213</v>
      </c>
    </row>
    <row r="61" spans="1:1" ht="42.75" x14ac:dyDescent="0.25">
      <c r="A61" s="131" t="s">
        <v>214</v>
      </c>
    </row>
    <row r="62" spans="1:1" x14ac:dyDescent="0.25">
      <c r="A62" s="126"/>
    </row>
    <row r="63" spans="1:1" x14ac:dyDescent="0.25">
      <c r="A63" s="127" t="s">
        <v>215</v>
      </c>
    </row>
    <row r="64" spans="1:1" ht="42.75" x14ac:dyDescent="0.25">
      <c r="A64" s="131" t="s">
        <v>216</v>
      </c>
    </row>
    <row r="65" spans="1:1" x14ac:dyDescent="0.25">
      <c r="A65" s="126"/>
    </row>
    <row r="66" spans="1:1" ht="15.75" thickBot="1" x14ac:dyDescent="0.3">
      <c r="A66" s="141" t="s">
        <v>217</v>
      </c>
    </row>
  </sheetData>
  <pageMargins left="0.7" right="0.7"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21" t="s">
        <v>176</v>
      </c>
    </row>
    <row r="2" spans="1:14" ht="18.75" x14ac:dyDescent="0.25">
      <c r="A2" s="122"/>
    </row>
    <row r="3" spans="1:14" ht="57" x14ac:dyDescent="0.25">
      <c r="A3" s="123" t="s">
        <v>218</v>
      </c>
      <c r="N3" s="143"/>
    </row>
    <row r="4" spans="1:14" x14ac:dyDescent="0.25">
      <c r="A4" s="123"/>
    </row>
    <row r="5" spans="1:14" ht="29.25" thickBot="1" x14ac:dyDescent="0.3">
      <c r="A5" s="124" t="s">
        <v>177</v>
      </c>
      <c r="N5">
        <f>IF(REN_Load_2012+REN_Load_2013&gt;0,AVERAGE(REN_Load_2012,REN_Load_2013),0)</f>
        <v>1582313.5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N46"/>
  <sheetViews>
    <sheetView topLeftCell="A13" zoomScaleNormal="100" workbookViewId="0">
      <selection activeCell="K10" sqref="K10"/>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90" t="s">
        <v>77</v>
      </c>
    </row>
    <row r="2" spans="1:14" ht="15" customHeight="1" x14ac:dyDescent="0.2">
      <c r="B2" s="2"/>
    </row>
    <row r="3" spans="1:14" ht="14.25" customHeight="1" thickBot="1" x14ac:dyDescent="0.25">
      <c r="B3" s="3" t="s">
        <v>4</v>
      </c>
      <c r="C3" s="166" t="s">
        <v>220</v>
      </c>
      <c r="D3" s="166"/>
      <c r="E3" s="166"/>
      <c r="G3" s="163" t="s">
        <v>85</v>
      </c>
      <c r="H3" s="163"/>
      <c r="I3" s="163"/>
      <c r="J3" s="163"/>
      <c r="N3" s="142"/>
    </row>
    <row r="4" spans="1:14" ht="15" customHeight="1" x14ac:dyDescent="0.2">
      <c r="B4" s="4" t="s">
        <v>84</v>
      </c>
      <c r="C4" s="167">
        <v>41789</v>
      </c>
      <c r="D4" s="168"/>
      <c r="E4" s="168"/>
      <c r="F4" s="16"/>
      <c r="H4" s="109" t="s">
        <v>81</v>
      </c>
      <c r="I4" s="108"/>
      <c r="J4" s="109" t="s">
        <v>82</v>
      </c>
    </row>
    <row r="5" spans="1:14" ht="15" customHeight="1" x14ac:dyDescent="0.2">
      <c r="B5" s="5" t="s">
        <v>83</v>
      </c>
      <c r="C5" s="169" t="s">
        <v>225</v>
      </c>
      <c r="D5" s="170"/>
      <c r="E5" s="170"/>
      <c r="F5" s="7"/>
      <c r="H5" s="107" t="s">
        <v>80</v>
      </c>
      <c r="J5" s="107" t="s">
        <v>80</v>
      </c>
    </row>
    <row r="6" spans="1:14" ht="15" customHeight="1" x14ac:dyDescent="0.2">
      <c r="B6" s="5" t="s">
        <v>1</v>
      </c>
      <c r="C6" s="170" t="s">
        <v>226</v>
      </c>
      <c r="D6" s="170"/>
      <c r="E6" s="170"/>
      <c r="F6" s="7"/>
      <c r="G6" s="92" t="s">
        <v>66</v>
      </c>
      <c r="H6" s="93">
        <f>CON_Target_2012_2013</f>
        <v>29608.799999999999</v>
      </c>
      <c r="I6" s="92" t="s">
        <v>66</v>
      </c>
      <c r="J6" s="94">
        <f>CON_Target_2014_2015</f>
        <v>18220.8</v>
      </c>
    </row>
    <row r="7" spans="1:14" ht="15" customHeight="1" x14ac:dyDescent="0.2">
      <c r="B7" s="5" t="s">
        <v>2</v>
      </c>
      <c r="C7" s="171" t="s">
        <v>227</v>
      </c>
      <c r="D7" s="172"/>
      <c r="E7" s="172"/>
      <c r="F7" s="7"/>
      <c r="G7" s="92" t="s">
        <v>67</v>
      </c>
      <c r="H7" s="95">
        <v>35887</v>
      </c>
    </row>
    <row r="8" spans="1:14" ht="15" customHeight="1" thickBot="1" x14ac:dyDescent="0.25">
      <c r="B8" s="5"/>
      <c r="C8" s="91"/>
      <c r="D8" s="7"/>
      <c r="E8" s="7"/>
      <c r="F8" s="7"/>
      <c r="G8" s="92" t="s">
        <v>68</v>
      </c>
      <c r="H8" s="96">
        <f>H6-H7</f>
        <v>-6278.2000000000007</v>
      </c>
    </row>
    <row r="9" spans="1:14" s="7" customFormat="1" ht="13.5" thickTop="1" x14ac:dyDescent="0.2">
      <c r="B9" s="158" t="s">
        <v>69</v>
      </c>
      <c r="C9" s="158"/>
      <c r="D9" s="158"/>
      <c r="E9" s="158"/>
      <c r="F9" s="159"/>
    </row>
    <row r="10" spans="1:14" s="7" customFormat="1" x14ac:dyDescent="0.2">
      <c r="B10" s="160" t="s">
        <v>36</v>
      </c>
      <c r="C10" s="161"/>
      <c r="D10" s="161" t="s">
        <v>72</v>
      </c>
      <c r="E10" s="161"/>
    </row>
    <row r="11" spans="1:14" ht="52.5" customHeight="1" x14ac:dyDescent="0.2">
      <c r="B11" s="97" t="s">
        <v>75</v>
      </c>
      <c r="C11" s="17" t="s">
        <v>51</v>
      </c>
      <c r="D11" s="17" t="s">
        <v>74</v>
      </c>
      <c r="E11" s="98" t="s">
        <v>73</v>
      </c>
    </row>
    <row r="12" spans="1:14" ht="15" customHeight="1" x14ac:dyDescent="0.2">
      <c r="B12" s="99">
        <v>183084</v>
      </c>
      <c r="C12" s="100">
        <v>29608.799999999999</v>
      </c>
      <c r="D12" s="100">
        <v>115544</v>
      </c>
      <c r="E12" s="101">
        <v>18220.8</v>
      </c>
    </row>
    <row r="13" spans="1:14" ht="15" customHeight="1" thickBot="1" x14ac:dyDescent="0.25">
      <c r="B13" s="7"/>
      <c r="C13" s="7"/>
      <c r="D13" s="7"/>
      <c r="E13" s="7"/>
      <c r="F13" s="7"/>
      <c r="G13" s="7"/>
      <c r="H13" s="7"/>
    </row>
    <row r="14" spans="1:14" ht="13.5" thickTop="1" x14ac:dyDescent="0.2">
      <c r="B14" s="162" t="s">
        <v>3</v>
      </c>
      <c r="C14" s="162"/>
      <c r="D14" s="162"/>
      <c r="E14" s="162"/>
      <c r="F14" s="162"/>
      <c r="G14" s="162"/>
      <c r="H14" s="162"/>
    </row>
    <row r="15" spans="1:14" ht="15" customHeight="1" x14ac:dyDescent="0.2">
      <c r="A15" s="7"/>
      <c r="B15" s="18"/>
      <c r="D15" s="161" t="s">
        <v>49</v>
      </c>
      <c r="E15" s="161"/>
      <c r="G15" s="161" t="s">
        <v>71</v>
      </c>
      <c r="H15" s="161"/>
    </row>
    <row r="16" spans="1:14" ht="30.75" customHeight="1" x14ac:dyDescent="0.2">
      <c r="A16" s="7"/>
      <c r="C16" s="19" t="s">
        <v>43</v>
      </c>
      <c r="D16" s="17" t="s">
        <v>7</v>
      </c>
      <c r="E16" s="17" t="s">
        <v>8</v>
      </c>
      <c r="G16" s="17" t="s">
        <v>7</v>
      </c>
      <c r="H16" s="17" t="s">
        <v>8</v>
      </c>
    </row>
    <row r="17" spans="1:8" ht="15" customHeight="1" x14ac:dyDescent="0.2">
      <c r="A17" s="7"/>
      <c r="C17" s="35" t="s">
        <v>9</v>
      </c>
      <c r="D17" s="148">
        <v>3895.5282000000002</v>
      </c>
      <c r="E17" s="149">
        <v>469053</v>
      </c>
      <c r="G17" s="151">
        <v>4249.694999999997</v>
      </c>
      <c r="H17" s="153">
        <v>776356</v>
      </c>
    </row>
    <row r="18" spans="1:8" ht="15" customHeight="1" x14ac:dyDescent="0.2">
      <c r="A18" s="7"/>
      <c r="C18" s="35" t="s">
        <v>10</v>
      </c>
      <c r="D18" s="150">
        <v>3684.5611199999998</v>
      </c>
      <c r="E18" s="149">
        <v>206660</v>
      </c>
      <c r="G18" s="154">
        <v>3990.6092399999998</v>
      </c>
      <c r="H18" s="153">
        <v>472267</v>
      </c>
    </row>
    <row r="19" spans="1:8" ht="15" customHeight="1" x14ac:dyDescent="0.2">
      <c r="A19" s="7"/>
      <c r="C19" s="35" t="s">
        <v>11</v>
      </c>
      <c r="D19" s="150">
        <v>3946.7917200000002</v>
      </c>
      <c r="E19" s="149">
        <v>666718</v>
      </c>
      <c r="G19" s="154">
        <v>9181.5487200000007</v>
      </c>
      <c r="H19" s="153">
        <v>939775</v>
      </c>
    </row>
    <row r="20" spans="1:8" ht="15" customHeight="1" x14ac:dyDescent="0.2">
      <c r="A20" s="7"/>
      <c r="C20" s="35" t="s">
        <v>12</v>
      </c>
      <c r="D20" s="150">
        <v>224.84291999999999</v>
      </c>
      <c r="E20" s="149">
        <v>61035</v>
      </c>
      <c r="G20" s="154">
        <v>143.08584000000005</v>
      </c>
      <c r="H20" s="153">
        <v>21000</v>
      </c>
    </row>
    <row r="21" spans="1:8" ht="15" customHeight="1" x14ac:dyDescent="0.2">
      <c r="A21" s="7"/>
      <c r="C21" s="35" t="s">
        <v>38</v>
      </c>
      <c r="D21" s="148">
        <v>0</v>
      </c>
      <c r="E21" s="149">
        <v>0</v>
      </c>
      <c r="G21" s="151">
        <v>0</v>
      </c>
      <c r="H21" s="153">
        <v>0</v>
      </c>
    </row>
    <row r="22" spans="1:8" ht="15" customHeight="1" x14ac:dyDescent="0.2">
      <c r="A22" s="7"/>
      <c r="C22" s="36" t="s">
        <v>39</v>
      </c>
      <c r="D22" s="148">
        <v>0</v>
      </c>
      <c r="E22" s="149">
        <v>0</v>
      </c>
      <c r="G22" s="151">
        <v>0</v>
      </c>
      <c r="H22" s="153">
        <v>0</v>
      </c>
    </row>
    <row r="23" spans="1:8" ht="15" customHeight="1" x14ac:dyDescent="0.2">
      <c r="A23" s="7"/>
      <c r="C23" s="36" t="s">
        <v>5</v>
      </c>
      <c r="D23" s="148">
        <v>3066</v>
      </c>
      <c r="E23" s="149">
        <v>348800</v>
      </c>
      <c r="G23" s="151">
        <v>3504</v>
      </c>
      <c r="H23" s="153">
        <v>348800</v>
      </c>
    </row>
    <row r="24" spans="1:8" ht="15" customHeight="1" x14ac:dyDescent="0.2">
      <c r="A24" s="7"/>
      <c r="C24" s="103"/>
      <c r="D24" s="102"/>
      <c r="E24" s="112"/>
      <c r="G24" s="152"/>
      <c r="H24" s="153"/>
    </row>
    <row r="25" spans="1:8" ht="15" customHeight="1" x14ac:dyDescent="0.2">
      <c r="A25" s="7"/>
      <c r="C25" s="103"/>
      <c r="D25" s="102"/>
      <c r="E25" s="112"/>
      <c r="G25" s="152"/>
      <c r="H25" s="153"/>
    </row>
    <row r="26" spans="1:8" ht="30.75" customHeight="1" x14ac:dyDescent="0.2">
      <c r="A26" s="7"/>
      <c r="B26" s="164" t="s">
        <v>70</v>
      </c>
      <c r="C26" s="165"/>
      <c r="E26" s="113"/>
      <c r="H26" s="113"/>
    </row>
    <row r="27" spans="1:8" ht="15" customHeight="1" x14ac:dyDescent="0.2">
      <c r="A27" s="7"/>
      <c r="C27" s="104"/>
      <c r="D27" s="110"/>
      <c r="E27" s="112"/>
      <c r="G27" s="110"/>
      <c r="H27" s="112"/>
    </row>
    <row r="28" spans="1:8" ht="15" customHeight="1" x14ac:dyDescent="0.2">
      <c r="A28" s="7"/>
      <c r="C28" s="104"/>
      <c r="D28" s="111"/>
      <c r="E28" s="112"/>
      <c r="G28" s="111"/>
      <c r="H28" s="112"/>
    </row>
    <row r="29" spans="1:8" ht="15" customHeight="1" x14ac:dyDescent="0.2">
      <c r="C29" s="37" t="s">
        <v>6</v>
      </c>
      <c r="D29" s="34">
        <f>SUM(D17:D25)</f>
        <v>14817.723959999999</v>
      </c>
      <c r="E29" s="114">
        <f>SUM(E17:E28)</f>
        <v>1752266</v>
      </c>
      <c r="G29" s="34">
        <f>SUM(G17:G25)</f>
        <v>21068.938799999996</v>
      </c>
      <c r="H29" s="114">
        <f>SUM(H17:H28)</f>
        <v>2558198</v>
      </c>
    </row>
    <row r="30" spans="1:8" ht="15" customHeight="1" x14ac:dyDescent="0.2">
      <c r="B30" s="20"/>
      <c r="C30" s="21"/>
      <c r="D30" s="22"/>
      <c r="E30" s="21"/>
      <c r="F30" s="22"/>
    </row>
    <row r="31" spans="1:8" s="7" customFormat="1" ht="15" customHeight="1" x14ac:dyDescent="0.2">
      <c r="B31" s="3" t="s">
        <v>4</v>
      </c>
      <c r="C31" s="155" t="str">
        <f>CON_Utility_Name</f>
        <v>Chelan County PUD</v>
      </c>
      <c r="D31" s="155"/>
      <c r="E31" s="155"/>
      <c r="F31" s="155"/>
    </row>
    <row r="32" spans="1:8" s="7" customFormat="1" ht="21" customHeight="1" x14ac:dyDescent="0.2">
      <c r="B32" s="3"/>
      <c r="C32" s="6"/>
      <c r="D32" s="6"/>
      <c r="E32" s="6"/>
      <c r="F32" s="6"/>
    </row>
    <row r="33" spans="2:6" s="23" customFormat="1" x14ac:dyDescent="0.25">
      <c r="B33" s="156" t="s">
        <v>76</v>
      </c>
      <c r="C33" s="157"/>
      <c r="D33" s="157"/>
      <c r="E33" s="157"/>
      <c r="F33" s="157"/>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x14ac:dyDescent="0.2">
      <c r="B46" s="11" t="s">
        <v>37</v>
      </c>
    </row>
  </sheetData>
  <mergeCells count="16">
    <mergeCell ref="G14:H14"/>
    <mergeCell ref="G3:J3"/>
    <mergeCell ref="G15:H15"/>
    <mergeCell ref="B14:F14"/>
    <mergeCell ref="B26:C26"/>
    <mergeCell ref="D15:E15"/>
    <mergeCell ref="C3:E3"/>
    <mergeCell ref="C4:E4"/>
    <mergeCell ref="C5:E5"/>
    <mergeCell ref="C6:E6"/>
    <mergeCell ref="C7:E7"/>
    <mergeCell ref="C31:F31"/>
    <mergeCell ref="B33:F33"/>
    <mergeCell ref="B9:F9"/>
    <mergeCell ref="B10:C10"/>
    <mergeCell ref="D10:E10"/>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zoomScaleNormal="100" zoomScaleSheetLayoutView="100" workbookViewId="0">
      <selection activeCell="O16" sqref="O16"/>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6" t="s">
        <v>60</v>
      </c>
      <c r="C1" s="76"/>
      <c r="D1" s="76"/>
      <c r="AC1" s="71" t="s">
        <v>52</v>
      </c>
      <c r="AH1" s="68"/>
    </row>
    <row r="2" spans="2:34" ht="14.25" x14ac:dyDescent="0.2">
      <c r="B2" s="28"/>
      <c r="C2" s="28"/>
      <c r="D2" s="28"/>
      <c r="I2" s="173" t="s">
        <v>48</v>
      </c>
      <c r="J2" s="174"/>
      <c r="K2" s="174"/>
      <c r="L2" s="174"/>
      <c r="M2" s="174"/>
      <c r="N2" s="175"/>
      <c r="AC2" s="72" t="s">
        <v>53</v>
      </c>
      <c r="AH2" s="66"/>
    </row>
    <row r="3" spans="2:34" ht="15" customHeight="1" x14ac:dyDescent="0.2">
      <c r="B3" s="3" t="s">
        <v>4</v>
      </c>
      <c r="C3" s="179" t="s">
        <v>220</v>
      </c>
      <c r="D3" s="179"/>
      <c r="E3" s="179"/>
      <c r="I3" s="85"/>
      <c r="J3" s="7"/>
      <c r="K3" s="7"/>
      <c r="L3" s="7"/>
      <c r="M3" s="84" t="s">
        <v>44</v>
      </c>
      <c r="N3" s="145">
        <v>1564634</v>
      </c>
      <c r="AC3" s="72" t="s">
        <v>54</v>
      </c>
      <c r="AH3" s="66"/>
    </row>
    <row r="4" spans="2:34" ht="15" customHeight="1" thickBot="1" x14ac:dyDescent="0.25">
      <c r="B4" s="4" t="s">
        <v>84</v>
      </c>
      <c r="C4" s="180">
        <v>41789</v>
      </c>
      <c r="D4" s="180"/>
      <c r="E4" s="180"/>
      <c r="I4" s="85"/>
      <c r="J4" s="7"/>
      <c r="K4" s="7"/>
      <c r="L4" s="7"/>
      <c r="M4" s="84" t="s">
        <v>57</v>
      </c>
      <c r="N4" s="145">
        <v>1599993</v>
      </c>
      <c r="AC4" s="72" t="s">
        <v>55</v>
      </c>
      <c r="AH4" s="67"/>
    </row>
    <row r="5" spans="2:34" ht="15" customHeight="1" x14ac:dyDescent="0.2">
      <c r="B5" s="5" t="s">
        <v>0</v>
      </c>
      <c r="C5" s="181" t="s">
        <v>221</v>
      </c>
      <c r="D5" s="181"/>
      <c r="E5" s="181"/>
      <c r="I5" s="85"/>
      <c r="J5" s="7"/>
      <c r="K5" s="7"/>
      <c r="L5" s="7"/>
      <c r="M5" s="84" t="s">
        <v>58</v>
      </c>
      <c r="N5" s="146">
        <f>IF(REN_Load_2012+REN_Load_2013&gt;0,AVERAGE(REN_Load_2012,REN_Load_2013),0)</f>
        <v>1582313.5</v>
      </c>
    </row>
    <row r="6" spans="2:34" ht="15" customHeight="1" x14ac:dyDescent="0.2">
      <c r="B6" s="5" t="s">
        <v>1</v>
      </c>
      <c r="C6" s="181" t="s">
        <v>222</v>
      </c>
      <c r="D6" s="181"/>
      <c r="E6" s="181"/>
      <c r="I6" s="85"/>
      <c r="J6" s="7"/>
      <c r="K6" s="7"/>
      <c r="L6" s="7"/>
      <c r="M6" s="84" t="s">
        <v>59</v>
      </c>
      <c r="N6" s="86">
        <v>0.03</v>
      </c>
    </row>
    <row r="7" spans="2:34" ht="15" customHeight="1" x14ac:dyDescent="0.2">
      <c r="B7" s="5" t="s">
        <v>2</v>
      </c>
      <c r="C7" s="182" t="s">
        <v>223</v>
      </c>
      <c r="D7" s="183"/>
      <c r="E7" s="183"/>
      <c r="I7" s="106"/>
      <c r="J7" s="7"/>
      <c r="K7" s="7"/>
      <c r="L7" s="7"/>
      <c r="M7" s="84" t="s">
        <v>65</v>
      </c>
      <c r="N7" s="146">
        <f>N5*N6</f>
        <v>47469.404999999999</v>
      </c>
    </row>
    <row r="8" spans="2:34" ht="15" customHeight="1" x14ac:dyDescent="0.2">
      <c r="B8" s="5"/>
      <c r="C8" s="5"/>
      <c r="D8" s="5"/>
      <c r="E8" s="65"/>
      <c r="I8" s="87"/>
      <c r="J8" s="88"/>
      <c r="K8" s="88"/>
      <c r="L8" s="88"/>
      <c r="M8" s="89" t="s">
        <v>56</v>
      </c>
      <c r="N8" s="147">
        <f>SUM(C20:M20)</f>
        <v>47469</v>
      </c>
    </row>
    <row r="9" spans="2:34" ht="15" customHeight="1" x14ac:dyDescent="0.2">
      <c r="B9" s="3" t="s">
        <v>61</v>
      </c>
      <c r="C9" s="77"/>
      <c r="D9" s="77"/>
    </row>
    <row r="10" spans="2:34" ht="15" customHeight="1" x14ac:dyDescent="0.2">
      <c r="C10" s="28"/>
      <c r="D10" s="28"/>
      <c r="G10" s="176" t="s">
        <v>168</v>
      </c>
      <c r="H10" s="177"/>
      <c r="I10" s="177"/>
      <c r="J10" s="177"/>
      <c r="K10" s="177"/>
      <c r="L10" s="177"/>
      <c r="M10" s="177"/>
      <c r="N10" s="178"/>
    </row>
    <row r="11" spans="2:34" s="69" customFormat="1" ht="14.25" customHeight="1" x14ac:dyDescent="0.25">
      <c r="B11" s="1"/>
      <c r="C11" s="70"/>
      <c r="D11" s="70"/>
      <c r="G11" s="85" t="s">
        <v>167</v>
      </c>
      <c r="H11" s="117"/>
      <c r="I11" s="117"/>
      <c r="J11" s="117"/>
      <c r="K11" s="117"/>
      <c r="L11" s="117"/>
      <c r="M11" s="7"/>
      <c r="N11" s="119">
        <f>3282406.22</f>
        <v>3282406.22</v>
      </c>
    </row>
    <row r="12" spans="2:34" x14ac:dyDescent="0.2">
      <c r="C12" s="28"/>
      <c r="D12" s="28"/>
      <c r="G12" s="85" t="s">
        <v>175</v>
      </c>
      <c r="H12" s="115"/>
      <c r="I12" s="115"/>
      <c r="J12" s="115"/>
      <c r="K12" s="115"/>
      <c r="L12" s="7"/>
      <c r="M12" s="7"/>
      <c r="N12" s="119">
        <v>50300000</v>
      </c>
    </row>
    <row r="13" spans="2:34" x14ac:dyDescent="0.2">
      <c r="G13" s="118" t="s">
        <v>169</v>
      </c>
      <c r="H13" s="116"/>
      <c r="I13" s="116"/>
      <c r="J13" s="116"/>
      <c r="K13" s="116"/>
      <c r="L13" s="88"/>
      <c r="M13" s="88"/>
      <c r="N13" s="120">
        <f>IF(REN_RetailRevenueRequirement_2014&gt;0,REN_Expenditure_Amount_2014/REN_RetailRevenueRequirement_2014,"")</f>
        <v>6.5256584890656069E-2</v>
      </c>
    </row>
    <row r="14" spans="2:34" ht="17.45" customHeight="1" x14ac:dyDescent="0.2">
      <c r="I14" s="184"/>
      <c r="J14" s="184"/>
      <c r="K14" s="184"/>
      <c r="L14" s="184"/>
      <c r="M14" s="184"/>
      <c r="N14" s="62"/>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2"/>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62"/>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2"/>
      <c r="O17" s="24"/>
      <c r="P17" s="24"/>
    </row>
    <row r="18" spans="2:34" ht="15" customHeight="1" x14ac:dyDescent="0.2">
      <c r="B18" s="4" t="s">
        <v>45</v>
      </c>
      <c r="C18" s="12">
        <f t="shared" ref="C18:L18" si="0">SUM(E44:E64)</f>
        <v>47469</v>
      </c>
      <c r="D18" s="12">
        <f t="shared" si="0"/>
        <v>0</v>
      </c>
      <c r="E18" s="12">
        <f t="shared" si="0"/>
        <v>0</v>
      </c>
      <c r="F18" s="12">
        <f t="shared" si="0"/>
        <v>0</v>
      </c>
      <c r="G18" s="12">
        <f t="shared" si="0"/>
        <v>0</v>
      </c>
      <c r="H18" s="12">
        <f t="shared" si="0"/>
        <v>0</v>
      </c>
      <c r="I18" s="12">
        <f t="shared" si="0"/>
        <v>0</v>
      </c>
      <c r="J18" s="12">
        <f t="shared" si="0"/>
        <v>0</v>
      </c>
      <c r="K18" s="12">
        <f t="shared" si="0"/>
        <v>0</v>
      </c>
      <c r="L18" s="12">
        <f t="shared" si="0"/>
        <v>0</v>
      </c>
      <c r="M18" s="105"/>
      <c r="N18" s="63"/>
      <c r="O18" s="74"/>
      <c r="P18" s="74"/>
    </row>
    <row r="19" spans="2:34" ht="16.5" customHeight="1" x14ac:dyDescent="0.2">
      <c r="B19" s="4" t="s">
        <v>46</v>
      </c>
      <c r="C19" s="105"/>
      <c r="D19" s="13">
        <f t="shared" ref="D19:M19" si="1">SUM(F72:F96)</f>
        <v>0</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64"/>
      <c r="O19" s="24"/>
      <c r="P19" s="24"/>
    </row>
    <row r="20" spans="2:34" ht="16.5" customHeight="1" x14ac:dyDescent="0.2">
      <c r="B20" s="5" t="s">
        <v>47</v>
      </c>
      <c r="C20" s="14">
        <f t="shared" ref="C20:L20" si="2">C18+C19</f>
        <v>47469</v>
      </c>
      <c r="D20" s="14">
        <f t="shared" si="2"/>
        <v>0</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64"/>
      <c r="O20" s="24"/>
      <c r="P20" s="24"/>
    </row>
    <row r="21" spans="2:34" ht="16.5" customHeight="1" x14ac:dyDescent="0.2">
      <c r="L21" s="7"/>
      <c r="M21" s="4"/>
      <c r="N21" s="64"/>
      <c r="O21" s="24"/>
      <c r="P21" s="24"/>
    </row>
    <row r="22" spans="2:34" ht="21.75" customHeight="1" x14ac:dyDescent="0.2">
      <c r="L22" s="7"/>
      <c r="M22" s="4"/>
      <c r="N22" s="64"/>
      <c r="O22" s="24"/>
      <c r="P22" s="24"/>
    </row>
    <row r="23" spans="2:34" ht="15" customHeight="1" x14ac:dyDescent="0.2">
      <c r="B23" s="75"/>
      <c r="C23" s="78"/>
      <c r="D23" s="78"/>
      <c r="E23" s="75"/>
      <c r="F23" s="78"/>
      <c r="G23" s="78"/>
      <c r="I23" s="7"/>
      <c r="J23" s="7"/>
      <c r="K23" s="7"/>
      <c r="L23" s="7"/>
      <c r="M23" s="4"/>
      <c r="N23" s="64"/>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85" t="str">
        <f>C3</f>
        <v>Chelan County PUD</v>
      </c>
      <c r="G36" s="186"/>
      <c r="H36" s="187"/>
    </row>
    <row r="37" spans="2:34" ht="15" customHeight="1" x14ac:dyDescent="0.2">
      <c r="E37" s="10" t="s">
        <v>13</v>
      </c>
      <c r="F37" s="188">
        <v>2014</v>
      </c>
      <c r="G37" s="189"/>
      <c r="H37" s="190"/>
    </row>
    <row r="38" spans="2:34" ht="15" customHeight="1" x14ac:dyDescent="0.2">
      <c r="E38" s="10"/>
      <c r="F38" s="73"/>
      <c r="G38" s="9"/>
      <c r="H38" s="9"/>
    </row>
    <row r="39" spans="2:34" s="29" customFormat="1" ht="27" customHeight="1" x14ac:dyDescent="0.25">
      <c r="B39" s="191" t="s">
        <v>173</v>
      </c>
      <c r="C39" s="192"/>
      <c r="D39" s="192"/>
      <c r="E39" s="193"/>
      <c r="F39" s="193"/>
      <c r="G39" s="193"/>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9" t="s">
        <v>35</v>
      </c>
      <c r="C43" s="194" t="s">
        <v>62</v>
      </c>
      <c r="D43" s="194"/>
      <c r="E43" s="25" t="s">
        <v>7</v>
      </c>
      <c r="F43" s="25" t="s">
        <v>7</v>
      </c>
      <c r="G43" s="25" t="s">
        <v>7</v>
      </c>
      <c r="H43" s="25" t="s">
        <v>7</v>
      </c>
      <c r="I43" s="25" t="s">
        <v>7</v>
      </c>
      <c r="J43" s="25" t="s">
        <v>7</v>
      </c>
      <c r="K43" s="25" t="s">
        <v>7</v>
      </c>
      <c r="L43" s="25" t="s">
        <v>7</v>
      </c>
      <c r="M43" s="25" t="s">
        <v>7</v>
      </c>
      <c r="N43" s="25" t="s">
        <v>64</v>
      </c>
      <c r="AH43" s="11"/>
    </row>
    <row r="44" spans="2:34" ht="15" customHeight="1" x14ac:dyDescent="0.2">
      <c r="B44" s="80" t="s">
        <v>224</v>
      </c>
      <c r="C44" s="44"/>
      <c r="D44" s="44"/>
      <c r="E44" s="49">
        <v>47469</v>
      </c>
      <c r="F44" s="50"/>
      <c r="G44" s="50"/>
      <c r="H44" s="50"/>
      <c r="I44" s="50"/>
      <c r="J44" s="50"/>
      <c r="K44" s="50"/>
      <c r="L44" s="50"/>
      <c r="M44" s="50"/>
      <c r="N44" s="50"/>
    </row>
    <row r="45" spans="2:34" ht="15" customHeight="1" x14ac:dyDescent="0.2">
      <c r="B45" s="81"/>
      <c r="C45" s="45"/>
      <c r="D45" s="45"/>
      <c r="E45" s="52"/>
      <c r="F45" s="53"/>
      <c r="G45" s="53"/>
      <c r="H45" s="53"/>
      <c r="I45" s="53"/>
      <c r="J45" s="53"/>
      <c r="K45" s="53"/>
      <c r="L45" s="53"/>
      <c r="M45" s="53"/>
      <c r="N45" s="53"/>
    </row>
    <row r="46" spans="2:34" ht="15" customHeight="1" x14ac:dyDescent="0.2">
      <c r="B46" s="81"/>
      <c r="C46" s="45"/>
      <c r="D46" s="45"/>
      <c r="E46" s="52"/>
      <c r="F46" s="53"/>
      <c r="G46" s="53"/>
      <c r="H46" s="53"/>
      <c r="I46" s="53"/>
      <c r="J46" s="53"/>
      <c r="K46" s="53"/>
      <c r="L46" s="53"/>
      <c r="M46" s="53"/>
      <c r="N46" s="53"/>
    </row>
    <row r="47" spans="2:34" ht="15" customHeight="1" x14ac:dyDescent="0.2">
      <c r="B47" s="82"/>
      <c r="C47" s="46"/>
      <c r="D47" s="46"/>
      <c r="E47" s="52"/>
      <c r="F47" s="53"/>
      <c r="G47" s="53"/>
      <c r="H47" s="53"/>
      <c r="I47" s="53"/>
      <c r="J47" s="53"/>
      <c r="K47" s="53"/>
      <c r="L47" s="53"/>
      <c r="M47" s="53"/>
      <c r="N47" s="53"/>
    </row>
    <row r="48" spans="2:34" ht="15" customHeight="1" x14ac:dyDescent="0.2">
      <c r="B48" s="83"/>
      <c r="C48" s="38"/>
      <c r="D48" s="38"/>
      <c r="E48" s="52"/>
      <c r="F48" s="53"/>
      <c r="G48" s="53"/>
      <c r="H48" s="53"/>
      <c r="I48" s="53"/>
      <c r="J48" s="53"/>
      <c r="K48" s="53"/>
      <c r="L48" s="53"/>
      <c r="M48" s="53"/>
      <c r="N48" s="53"/>
    </row>
    <row r="49" spans="2:14" ht="15" customHeight="1" x14ac:dyDescent="0.2">
      <c r="B49" s="41"/>
      <c r="C49" s="39"/>
      <c r="D49" s="39"/>
      <c r="E49" s="52"/>
      <c r="F49" s="53"/>
      <c r="G49" s="53"/>
      <c r="H49" s="53"/>
      <c r="I49" s="53"/>
      <c r="J49" s="53"/>
      <c r="K49" s="53"/>
      <c r="L49" s="53"/>
      <c r="M49" s="53"/>
      <c r="N49" s="53"/>
    </row>
    <row r="50" spans="2:14" ht="15" customHeight="1" x14ac:dyDescent="0.2">
      <c r="B50" s="41"/>
      <c r="C50" s="39"/>
      <c r="D50" s="39"/>
      <c r="E50" s="52"/>
      <c r="F50" s="53"/>
      <c r="G50" s="53"/>
      <c r="H50" s="53"/>
      <c r="I50" s="53"/>
      <c r="J50" s="53"/>
      <c r="K50" s="53"/>
      <c r="L50" s="53"/>
      <c r="M50" s="53"/>
      <c r="N50" s="53"/>
    </row>
    <row r="51" spans="2:14" ht="15" customHeight="1" x14ac:dyDescent="0.2">
      <c r="B51" s="41"/>
      <c r="C51" s="39"/>
      <c r="D51" s="39"/>
      <c r="E51" s="52"/>
      <c r="F51" s="53"/>
      <c r="G51" s="53"/>
      <c r="H51" s="53"/>
      <c r="I51" s="53"/>
      <c r="J51" s="53"/>
      <c r="K51" s="53"/>
      <c r="L51" s="53"/>
      <c r="M51" s="53"/>
      <c r="N51" s="53"/>
    </row>
    <row r="52" spans="2:14" ht="15" customHeight="1" x14ac:dyDescent="0.2">
      <c r="B52" s="41"/>
      <c r="C52" s="39"/>
      <c r="D52" s="39"/>
      <c r="E52" s="52"/>
      <c r="F52" s="53"/>
      <c r="G52" s="53"/>
      <c r="H52" s="53"/>
      <c r="I52" s="53"/>
      <c r="J52" s="53"/>
      <c r="K52" s="53"/>
      <c r="L52" s="53"/>
      <c r="M52" s="53"/>
      <c r="N52" s="53"/>
    </row>
    <row r="53" spans="2:14" ht="15" customHeight="1" x14ac:dyDescent="0.2">
      <c r="B53" s="41"/>
      <c r="C53" s="39"/>
      <c r="D53" s="39"/>
      <c r="E53" s="52"/>
      <c r="F53" s="53"/>
      <c r="G53" s="53"/>
      <c r="H53" s="53"/>
      <c r="I53" s="53"/>
      <c r="J53" s="53"/>
      <c r="K53" s="53"/>
      <c r="L53" s="53"/>
      <c r="M53" s="53"/>
      <c r="N53" s="53"/>
    </row>
    <row r="54" spans="2:14" ht="15" customHeight="1" x14ac:dyDescent="0.2">
      <c r="B54" s="41"/>
      <c r="C54" s="39"/>
      <c r="D54" s="39"/>
      <c r="E54" s="52"/>
      <c r="F54" s="53"/>
      <c r="G54" s="53"/>
      <c r="H54" s="53"/>
      <c r="I54" s="53"/>
      <c r="J54" s="53"/>
      <c r="K54" s="53"/>
      <c r="L54" s="53"/>
      <c r="M54" s="53"/>
      <c r="N54" s="53"/>
    </row>
    <row r="55" spans="2:14" ht="15" customHeight="1" x14ac:dyDescent="0.2">
      <c r="B55" s="41"/>
      <c r="C55" s="39"/>
      <c r="D55" s="39"/>
      <c r="E55" s="52"/>
      <c r="F55" s="53"/>
      <c r="G55" s="53"/>
      <c r="H55" s="53"/>
      <c r="I55" s="53"/>
      <c r="J55" s="53"/>
      <c r="K55" s="53"/>
      <c r="L55" s="53"/>
      <c r="M55" s="53"/>
      <c r="N55" s="53"/>
    </row>
    <row r="56" spans="2:14" ht="15" customHeight="1" x14ac:dyDescent="0.2">
      <c r="B56" s="41"/>
      <c r="C56" s="39"/>
      <c r="D56" s="39"/>
      <c r="E56" s="52"/>
      <c r="F56" s="53"/>
      <c r="G56" s="53"/>
      <c r="H56" s="53"/>
      <c r="I56" s="53"/>
      <c r="J56" s="53"/>
      <c r="K56" s="53"/>
      <c r="L56" s="53"/>
      <c r="M56" s="53"/>
      <c r="N56" s="53"/>
    </row>
    <row r="57" spans="2:14" ht="15" customHeight="1" x14ac:dyDescent="0.2">
      <c r="B57" s="41"/>
      <c r="C57" s="39"/>
      <c r="D57" s="39"/>
      <c r="E57" s="52"/>
      <c r="F57" s="53"/>
      <c r="G57" s="53"/>
      <c r="H57" s="53"/>
      <c r="I57" s="53"/>
      <c r="J57" s="53"/>
      <c r="K57" s="53"/>
      <c r="L57" s="53"/>
      <c r="M57" s="53"/>
      <c r="N57" s="53"/>
    </row>
    <row r="58" spans="2:14" ht="15" customHeight="1" x14ac:dyDescent="0.2">
      <c r="B58" s="41"/>
      <c r="C58" s="39"/>
      <c r="D58" s="39"/>
      <c r="E58" s="52"/>
      <c r="F58" s="53"/>
      <c r="G58" s="53"/>
      <c r="H58" s="53"/>
      <c r="I58" s="53"/>
      <c r="J58" s="53"/>
      <c r="K58" s="53"/>
      <c r="L58" s="53"/>
      <c r="M58" s="53"/>
      <c r="N58" s="53"/>
    </row>
    <row r="59" spans="2:14" ht="15" customHeight="1" x14ac:dyDescent="0.2">
      <c r="B59" s="41"/>
      <c r="C59" s="39"/>
      <c r="D59" s="39"/>
      <c r="E59" s="52"/>
      <c r="F59" s="53"/>
      <c r="G59" s="53"/>
      <c r="H59" s="53"/>
      <c r="I59" s="53"/>
      <c r="J59" s="53"/>
      <c r="K59" s="53"/>
      <c r="L59" s="53"/>
      <c r="M59" s="53"/>
      <c r="N59" s="53"/>
    </row>
    <row r="60" spans="2:14" ht="15" customHeight="1" x14ac:dyDescent="0.2">
      <c r="B60" s="41"/>
      <c r="C60" s="39"/>
      <c r="D60" s="39"/>
      <c r="E60" s="52"/>
      <c r="F60" s="53"/>
      <c r="G60" s="53"/>
      <c r="H60" s="53"/>
      <c r="I60" s="53"/>
      <c r="J60" s="53"/>
      <c r="K60" s="53"/>
      <c r="L60" s="53"/>
      <c r="M60" s="53"/>
      <c r="N60" s="53"/>
    </row>
    <row r="61" spans="2:14" ht="15" customHeight="1" x14ac:dyDescent="0.2">
      <c r="B61" s="41"/>
      <c r="C61" s="39"/>
      <c r="D61" s="39"/>
      <c r="E61" s="52"/>
      <c r="F61" s="53"/>
      <c r="G61" s="53"/>
      <c r="H61" s="53"/>
      <c r="I61" s="53"/>
      <c r="J61" s="53"/>
      <c r="K61" s="53"/>
      <c r="L61" s="53"/>
      <c r="M61" s="53"/>
      <c r="N61" s="53"/>
    </row>
    <row r="62" spans="2:14" ht="15" customHeight="1" x14ac:dyDescent="0.2">
      <c r="B62" s="41"/>
      <c r="C62" s="39"/>
      <c r="D62" s="39"/>
      <c r="E62" s="52"/>
      <c r="F62" s="53"/>
      <c r="G62" s="53"/>
      <c r="H62" s="53"/>
      <c r="I62" s="53"/>
      <c r="J62" s="53"/>
      <c r="K62" s="53"/>
      <c r="L62" s="53"/>
      <c r="M62" s="53"/>
      <c r="N62" s="53"/>
    </row>
    <row r="63" spans="2:14" ht="15" customHeight="1" x14ac:dyDescent="0.2">
      <c r="B63" s="41"/>
      <c r="C63" s="39"/>
      <c r="D63" s="39"/>
      <c r="E63" s="52"/>
      <c r="F63" s="53"/>
      <c r="G63" s="53"/>
      <c r="H63" s="53"/>
      <c r="I63" s="53"/>
      <c r="J63" s="53"/>
      <c r="K63" s="53"/>
      <c r="L63" s="53"/>
      <c r="M63" s="53"/>
      <c r="N63" s="53"/>
    </row>
    <row r="64" spans="2:14" ht="15" customHeight="1" x14ac:dyDescent="0.2">
      <c r="B64" s="42"/>
      <c r="C64" s="40"/>
      <c r="D64" s="40"/>
      <c r="E64" s="55"/>
      <c r="F64" s="56"/>
      <c r="G64" s="56"/>
      <c r="H64" s="56"/>
      <c r="I64" s="56"/>
      <c r="J64" s="56"/>
      <c r="K64" s="56"/>
      <c r="L64" s="56"/>
      <c r="M64" s="56"/>
      <c r="N64" s="56"/>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5" t="str">
        <f>C3</f>
        <v>Chelan County PUD</v>
      </c>
      <c r="G66" s="186"/>
      <c r="H66" s="187"/>
    </row>
    <row r="67" spans="1:34" ht="15" customHeight="1" x14ac:dyDescent="0.2">
      <c r="E67" s="10" t="s">
        <v>13</v>
      </c>
      <c r="F67" s="188">
        <v>2014</v>
      </c>
      <c r="G67" s="189"/>
      <c r="H67" s="190"/>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9"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48"/>
      <c r="C72" s="48"/>
      <c r="D72" s="48"/>
      <c r="E72" s="58"/>
      <c r="F72" s="50"/>
      <c r="G72" s="50"/>
      <c r="H72" s="50"/>
      <c r="I72" s="50"/>
      <c r="J72" s="50"/>
      <c r="K72" s="50"/>
      <c r="L72" s="50"/>
      <c r="M72" s="50"/>
      <c r="N72" s="50"/>
      <c r="O72" s="51"/>
    </row>
    <row r="73" spans="1:34" ht="15" customHeight="1" x14ac:dyDescent="0.2">
      <c r="A73" s="7"/>
      <c r="B73" s="48"/>
      <c r="C73" s="48"/>
      <c r="D73" s="48"/>
      <c r="E73" s="59"/>
      <c r="F73" s="53"/>
      <c r="G73" s="53"/>
      <c r="H73" s="53"/>
      <c r="I73" s="53"/>
      <c r="J73" s="53"/>
      <c r="K73" s="53"/>
      <c r="L73" s="53"/>
      <c r="M73" s="53"/>
      <c r="N73" s="53"/>
      <c r="O73" s="54"/>
    </row>
    <row r="74" spans="1:34" ht="15" customHeight="1" x14ac:dyDescent="0.2">
      <c r="A74" s="7"/>
      <c r="B74" s="48"/>
      <c r="C74" s="48"/>
      <c r="D74" s="48"/>
      <c r="E74" s="59"/>
      <c r="F74" s="53"/>
      <c r="G74" s="53"/>
      <c r="H74" s="53"/>
      <c r="I74" s="53"/>
      <c r="J74" s="53"/>
      <c r="K74" s="53"/>
      <c r="L74" s="53"/>
      <c r="M74" s="53"/>
      <c r="N74" s="53"/>
      <c r="O74" s="54"/>
    </row>
    <row r="75" spans="1:34" ht="15" customHeight="1" x14ac:dyDescent="0.2">
      <c r="A75" s="7"/>
      <c r="B75" s="48"/>
      <c r="C75" s="48"/>
      <c r="D75" s="48"/>
      <c r="E75" s="59"/>
      <c r="F75" s="53"/>
      <c r="G75" s="53"/>
      <c r="H75" s="53"/>
      <c r="I75" s="53"/>
      <c r="J75" s="53"/>
      <c r="K75" s="53"/>
      <c r="L75" s="53"/>
      <c r="M75" s="53"/>
      <c r="N75" s="53"/>
      <c r="O75" s="54"/>
    </row>
    <row r="76" spans="1:34" ht="15" customHeight="1" x14ac:dyDescent="0.2">
      <c r="A76" s="7"/>
      <c r="B76" s="41"/>
      <c r="C76" s="41"/>
      <c r="D76" s="41"/>
      <c r="E76" s="60"/>
      <c r="F76" s="53"/>
      <c r="G76" s="53"/>
      <c r="H76" s="53"/>
      <c r="I76" s="53"/>
      <c r="J76" s="53"/>
      <c r="K76" s="53"/>
      <c r="L76" s="53"/>
      <c r="M76" s="53"/>
      <c r="N76" s="53"/>
      <c r="O76" s="54"/>
    </row>
    <row r="77" spans="1:34" ht="15" customHeight="1" x14ac:dyDescent="0.2">
      <c r="A77" s="7"/>
      <c r="B77" s="41"/>
      <c r="C77" s="41"/>
      <c r="D77" s="41"/>
      <c r="E77" s="60"/>
      <c r="F77" s="53"/>
      <c r="G77" s="53"/>
      <c r="H77" s="53"/>
      <c r="I77" s="53"/>
      <c r="J77" s="53"/>
      <c r="K77" s="53"/>
      <c r="L77" s="53"/>
      <c r="M77" s="53"/>
      <c r="N77" s="53"/>
      <c r="O77" s="54"/>
    </row>
    <row r="78" spans="1:34" ht="15" customHeight="1" x14ac:dyDescent="0.2">
      <c r="A78" s="7"/>
      <c r="B78" s="41"/>
      <c r="C78" s="41"/>
      <c r="D78" s="41"/>
      <c r="E78" s="60"/>
      <c r="F78" s="53"/>
      <c r="G78" s="53"/>
      <c r="H78" s="53"/>
      <c r="I78" s="53"/>
      <c r="J78" s="53"/>
      <c r="K78" s="53"/>
      <c r="L78" s="53"/>
      <c r="M78" s="53"/>
      <c r="N78" s="53"/>
      <c r="O78" s="54"/>
    </row>
    <row r="79" spans="1:34" ht="15" customHeight="1" x14ac:dyDescent="0.2">
      <c r="B79" s="47"/>
      <c r="C79" s="47"/>
      <c r="D79" s="47"/>
      <c r="E79" s="60"/>
      <c r="F79" s="53"/>
      <c r="G79" s="53"/>
      <c r="H79" s="53"/>
      <c r="I79" s="53"/>
      <c r="J79" s="53"/>
      <c r="K79" s="53"/>
      <c r="L79" s="53"/>
      <c r="M79" s="53"/>
      <c r="N79" s="53"/>
      <c r="O79" s="54"/>
    </row>
    <row r="80" spans="1:34" ht="15" customHeight="1" x14ac:dyDescent="0.2">
      <c r="B80" s="41"/>
      <c r="C80" s="41"/>
      <c r="D80" s="41"/>
      <c r="E80" s="60"/>
      <c r="F80" s="53"/>
      <c r="G80" s="53"/>
      <c r="H80" s="53"/>
      <c r="I80" s="53"/>
      <c r="J80" s="53"/>
      <c r="K80" s="53"/>
      <c r="L80" s="53"/>
      <c r="M80" s="53"/>
      <c r="N80" s="53"/>
      <c r="O80" s="54"/>
    </row>
    <row r="81" spans="2:15" ht="15" customHeight="1" x14ac:dyDescent="0.2">
      <c r="B81" s="41"/>
      <c r="C81" s="41"/>
      <c r="D81" s="41"/>
      <c r="E81" s="60"/>
      <c r="F81" s="53"/>
      <c r="G81" s="53"/>
      <c r="H81" s="53"/>
      <c r="I81" s="53"/>
      <c r="J81" s="53"/>
      <c r="K81" s="53"/>
      <c r="L81" s="53"/>
      <c r="M81" s="53"/>
      <c r="N81" s="53"/>
      <c r="O81" s="54"/>
    </row>
    <row r="82" spans="2:15" ht="15" customHeight="1" x14ac:dyDescent="0.2">
      <c r="B82" s="41"/>
      <c r="C82" s="41"/>
      <c r="D82" s="41"/>
      <c r="E82" s="60"/>
      <c r="F82" s="53"/>
      <c r="G82" s="53"/>
      <c r="H82" s="53"/>
      <c r="I82" s="53"/>
      <c r="J82" s="53"/>
      <c r="K82" s="53"/>
      <c r="L82" s="53"/>
      <c r="M82" s="53"/>
      <c r="N82" s="53"/>
      <c r="O82" s="54"/>
    </row>
    <row r="83" spans="2:15" ht="15" customHeight="1" x14ac:dyDescent="0.2">
      <c r="B83" s="41"/>
      <c r="C83" s="41"/>
      <c r="D83" s="41"/>
      <c r="E83" s="60"/>
      <c r="F83" s="53"/>
      <c r="G83" s="53"/>
      <c r="H83" s="53"/>
      <c r="I83" s="53"/>
      <c r="J83" s="53"/>
      <c r="K83" s="53"/>
      <c r="L83" s="53"/>
      <c r="M83" s="53"/>
      <c r="N83" s="53"/>
      <c r="O83" s="54"/>
    </row>
    <row r="84" spans="2:15" ht="15" customHeight="1" x14ac:dyDescent="0.2">
      <c r="B84" s="41"/>
      <c r="C84" s="41"/>
      <c r="D84" s="41"/>
      <c r="E84" s="60"/>
      <c r="F84" s="53"/>
      <c r="G84" s="53"/>
      <c r="H84" s="53"/>
      <c r="I84" s="53"/>
      <c r="J84" s="53"/>
      <c r="K84" s="53"/>
      <c r="L84" s="53"/>
      <c r="M84" s="53"/>
      <c r="N84" s="53"/>
      <c r="O84" s="54"/>
    </row>
    <row r="85" spans="2:15" ht="15" customHeight="1" x14ac:dyDescent="0.2">
      <c r="B85" s="41"/>
      <c r="C85" s="41"/>
      <c r="D85" s="41"/>
      <c r="E85" s="60"/>
      <c r="F85" s="53"/>
      <c r="G85" s="53"/>
      <c r="H85" s="53"/>
      <c r="I85" s="53"/>
      <c r="J85" s="53"/>
      <c r="K85" s="53"/>
      <c r="L85" s="53"/>
      <c r="M85" s="53"/>
      <c r="N85" s="53"/>
      <c r="O85" s="54"/>
    </row>
    <row r="86" spans="2:15" ht="15" customHeight="1" x14ac:dyDescent="0.2">
      <c r="B86" s="41"/>
      <c r="C86" s="41"/>
      <c r="D86" s="41"/>
      <c r="E86" s="60"/>
      <c r="F86" s="53"/>
      <c r="G86" s="53"/>
      <c r="H86" s="53"/>
      <c r="I86" s="53"/>
      <c r="J86" s="53"/>
      <c r="K86" s="53"/>
      <c r="L86" s="53"/>
      <c r="M86" s="53"/>
      <c r="N86" s="53"/>
      <c r="O86" s="54"/>
    </row>
    <row r="87" spans="2:15" ht="15" customHeight="1" x14ac:dyDescent="0.2">
      <c r="B87" s="41"/>
      <c r="C87" s="41"/>
      <c r="D87" s="41"/>
      <c r="E87" s="60"/>
      <c r="F87" s="53"/>
      <c r="G87" s="53"/>
      <c r="H87" s="53"/>
      <c r="I87" s="53"/>
      <c r="J87" s="53"/>
      <c r="K87" s="53"/>
      <c r="L87" s="53"/>
      <c r="M87" s="53"/>
      <c r="N87" s="53"/>
      <c r="O87" s="54"/>
    </row>
    <row r="88" spans="2:15" ht="15" customHeight="1" x14ac:dyDescent="0.2">
      <c r="B88" s="41"/>
      <c r="C88" s="41"/>
      <c r="D88" s="41"/>
      <c r="E88" s="60"/>
      <c r="F88" s="53"/>
      <c r="G88" s="53"/>
      <c r="H88" s="53"/>
      <c r="I88" s="53"/>
      <c r="J88" s="53"/>
      <c r="K88" s="53"/>
      <c r="L88" s="53"/>
      <c r="M88" s="53"/>
      <c r="N88" s="53"/>
      <c r="O88" s="54"/>
    </row>
    <row r="89" spans="2:15" ht="15" customHeight="1" x14ac:dyDescent="0.2">
      <c r="B89" s="41"/>
      <c r="C89" s="41"/>
      <c r="D89" s="41"/>
      <c r="E89" s="60"/>
      <c r="F89" s="53"/>
      <c r="G89" s="53"/>
      <c r="H89" s="53"/>
      <c r="I89" s="53"/>
      <c r="J89" s="53"/>
      <c r="K89" s="53"/>
      <c r="L89" s="53"/>
      <c r="M89" s="53"/>
      <c r="N89" s="53"/>
      <c r="O89" s="54"/>
    </row>
    <row r="90" spans="2:15" ht="15" customHeight="1" x14ac:dyDescent="0.2">
      <c r="B90" s="41"/>
      <c r="C90" s="41"/>
      <c r="D90" s="41"/>
      <c r="E90" s="60"/>
      <c r="F90" s="53"/>
      <c r="G90" s="53"/>
      <c r="H90" s="53"/>
      <c r="I90" s="53"/>
      <c r="J90" s="53"/>
      <c r="K90" s="53"/>
      <c r="L90" s="53"/>
      <c r="M90" s="53"/>
      <c r="N90" s="53"/>
      <c r="O90" s="54"/>
    </row>
    <row r="91" spans="2:15" ht="15" customHeight="1" x14ac:dyDescent="0.2">
      <c r="B91" s="41"/>
      <c r="C91" s="41"/>
      <c r="D91" s="41"/>
      <c r="E91" s="60"/>
      <c r="F91" s="53"/>
      <c r="G91" s="53"/>
      <c r="H91" s="53"/>
      <c r="I91" s="53"/>
      <c r="J91" s="53"/>
      <c r="K91" s="53"/>
      <c r="L91" s="53"/>
      <c r="M91" s="53"/>
      <c r="N91" s="53"/>
      <c r="O91" s="54"/>
    </row>
    <row r="92" spans="2:15" ht="15" customHeight="1" x14ac:dyDescent="0.2">
      <c r="B92" s="41"/>
      <c r="C92" s="41"/>
      <c r="D92" s="41"/>
      <c r="E92" s="60"/>
      <c r="F92" s="53"/>
      <c r="G92" s="53"/>
      <c r="H92" s="53"/>
      <c r="I92" s="53"/>
      <c r="J92" s="53"/>
      <c r="K92" s="53"/>
      <c r="L92" s="53"/>
      <c r="M92" s="53"/>
      <c r="N92" s="53"/>
      <c r="O92" s="54"/>
    </row>
    <row r="93" spans="2:15" ht="15" customHeight="1" x14ac:dyDescent="0.2">
      <c r="B93" s="41"/>
      <c r="C93" s="41"/>
      <c r="D93" s="41"/>
      <c r="E93" s="60"/>
      <c r="F93" s="53"/>
      <c r="G93" s="53"/>
      <c r="H93" s="53"/>
      <c r="I93" s="53"/>
      <c r="J93" s="53"/>
      <c r="K93" s="53"/>
      <c r="L93" s="53"/>
      <c r="M93" s="53"/>
      <c r="N93" s="53"/>
      <c r="O93" s="54"/>
    </row>
    <row r="94" spans="2:15" ht="15" customHeight="1" x14ac:dyDescent="0.2">
      <c r="B94" s="41"/>
      <c r="C94" s="41"/>
      <c r="D94" s="41"/>
      <c r="E94" s="60"/>
      <c r="F94" s="53"/>
      <c r="G94" s="53"/>
      <c r="H94" s="53"/>
      <c r="I94" s="53"/>
      <c r="J94" s="53"/>
      <c r="K94" s="53"/>
      <c r="L94" s="53"/>
      <c r="M94" s="53"/>
      <c r="N94" s="53"/>
      <c r="O94" s="54"/>
    </row>
    <row r="95" spans="2:15" ht="15" customHeight="1" x14ac:dyDescent="0.2">
      <c r="B95" s="41"/>
      <c r="C95" s="41"/>
      <c r="D95" s="41"/>
      <c r="E95" s="60"/>
      <c r="F95" s="53"/>
      <c r="G95" s="53"/>
      <c r="H95" s="53"/>
      <c r="I95" s="53"/>
      <c r="J95" s="53"/>
      <c r="K95" s="53"/>
      <c r="L95" s="53"/>
      <c r="M95" s="53"/>
      <c r="N95" s="53"/>
      <c r="O95" s="54"/>
    </row>
    <row r="96" spans="2:15" ht="15" customHeight="1" x14ac:dyDescent="0.2">
      <c r="B96" s="42"/>
      <c r="C96" s="42"/>
      <c r="D96" s="42"/>
      <c r="E96" s="61"/>
      <c r="F96" s="56"/>
      <c r="G96" s="56"/>
      <c r="H96" s="56"/>
      <c r="I96" s="56"/>
      <c r="J96" s="56"/>
      <c r="K96" s="56"/>
      <c r="L96" s="56"/>
      <c r="M96" s="56"/>
      <c r="N96" s="56"/>
      <c r="O96" s="57"/>
    </row>
    <row r="97" spans="2:34" ht="15" customHeight="1" x14ac:dyDescent="0.2"/>
    <row r="98" spans="2:34" ht="15" customHeight="1" x14ac:dyDescent="0.2">
      <c r="B98" s="11"/>
      <c r="C98" s="11"/>
      <c r="D98" s="11"/>
      <c r="E98" s="10" t="s">
        <v>4</v>
      </c>
      <c r="F98" s="185" t="str">
        <f>C3</f>
        <v>Chelan County PUD</v>
      </c>
      <c r="G98" s="186"/>
      <c r="H98" s="187"/>
    </row>
    <row r="99" spans="2:34" ht="15" customHeight="1" x14ac:dyDescent="0.2">
      <c r="E99" s="10" t="s">
        <v>50</v>
      </c>
      <c r="F99" s="188">
        <v>2014</v>
      </c>
      <c r="G99" s="189"/>
      <c r="H99" s="190"/>
    </row>
    <row r="100" spans="2:34" ht="15" customHeight="1" x14ac:dyDescent="0.2">
      <c r="B100" s="11" t="s">
        <v>78</v>
      </c>
      <c r="C100" s="11"/>
      <c r="D100" s="11"/>
      <c r="E100" s="10"/>
      <c r="F100" s="73"/>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Chelan County PUD</v>
      </c>
      <c r="B2">
        <f>REN_Total_2014</f>
        <v>47469</v>
      </c>
      <c r="C2">
        <f>CON_2012_Agriculture_MWH</f>
        <v>224.84291999999999</v>
      </c>
      <c r="D2">
        <f>CON_2012_Commercial_Expend</f>
        <v>206660</v>
      </c>
      <c r="E2">
        <f>CON_2012_Commercial_MWH</f>
        <v>3684.5611199999998</v>
      </c>
      <c r="F2">
        <f>CON_2012_Distribution_Expend</f>
        <v>0</v>
      </c>
      <c r="G2">
        <f>CON_2012_Distribution_MWH</f>
        <v>0</v>
      </c>
      <c r="H2">
        <f>CON_2012_Expenditures</f>
        <v>1752266</v>
      </c>
      <c r="I2">
        <f>CON_2012_Industrial_Expend</f>
        <v>666718</v>
      </c>
      <c r="J2">
        <f>CON_2012_Industrial_MWH</f>
        <v>3946.7917200000002</v>
      </c>
      <c r="K2">
        <f>CON_2012_MWH</f>
        <v>14817.723959999999</v>
      </c>
      <c r="L2">
        <f>CON_2012_NEEA_Expend</f>
        <v>348800</v>
      </c>
      <c r="M2">
        <f>CON_2012_NEEA_MWH</f>
        <v>3066</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0</v>
      </c>
      <c r="U2">
        <f>CON_2012_Program2_Expend</f>
        <v>0</v>
      </c>
      <c r="V2">
        <f>CON_2012_Residential_Expend</f>
        <v>469053</v>
      </c>
      <c r="W2">
        <f>CON_2012_Residential_MWH</f>
        <v>3895.5282000000002</v>
      </c>
      <c r="X2">
        <f>CON_2013_Agriculture_Expend</f>
        <v>21000</v>
      </c>
      <c r="Y2">
        <f>CON_2013_Agriculture_MWH</f>
        <v>143.08584000000005</v>
      </c>
      <c r="Z2">
        <f>CON_2013_Commercial_Expend</f>
        <v>472267</v>
      </c>
      <c r="AA2">
        <f>CON_2013_Commercial_MWH</f>
        <v>3990.6092399999998</v>
      </c>
      <c r="AB2">
        <f>CON_2013_Distribution_Expend</f>
        <v>0</v>
      </c>
      <c r="AC2">
        <f>CON_2013_Distribution_MWH</f>
        <v>0</v>
      </c>
      <c r="AD2">
        <f>CON_2013_Expenditures</f>
        <v>2558198</v>
      </c>
      <c r="AE2">
        <f>CON_2013_Industrial_Expend</f>
        <v>939775</v>
      </c>
      <c r="AF2">
        <f>CON_2013_Industrial_MWH</f>
        <v>9181.5487200000007</v>
      </c>
      <c r="AG2">
        <f>CON_2013_MWH</f>
        <v>21068.938799999996</v>
      </c>
      <c r="AH2">
        <f>CON_2013_NEEA_Expend</f>
        <v>348800</v>
      </c>
      <c r="AI2">
        <f>CON_2013_NEEA_MWH</f>
        <v>3504</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0</v>
      </c>
      <c r="AQ2">
        <f>CON_2013_Program2_Expend</f>
        <v>0</v>
      </c>
      <c r="AR2">
        <f>CON_2013_Residential_Expend</f>
        <v>776356</v>
      </c>
      <c r="AS2">
        <f>CON_2013_Residential_MWH</f>
        <v>4249.694999999997</v>
      </c>
      <c r="AT2" t="str">
        <f>CON_Contact_Name</f>
        <v>Andrew Grassell/  Conservation</v>
      </c>
      <c r="AU2" t="str">
        <f>CON_Email</f>
        <v>andrew.grassell@chelanpud.org</v>
      </c>
      <c r="AV2" t="str">
        <f>CON_Phone</f>
        <v>509-661-4626</v>
      </c>
      <c r="AW2">
        <f>CON_Potential_2012_2021</f>
        <v>183084</v>
      </c>
      <c r="AX2">
        <f>CON_Potential_2014_2023</f>
        <v>115544</v>
      </c>
      <c r="AY2">
        <f>CON_Report_Date</f>
        <v>41789</v>
      </c>
      <c r="AZ2">
        <f>CON_Target_2012_2013</f>
        <v>29608.799999999999</v>
      </c>
      <c r="BA2">
        <f>CON_Target_2014_2015</f>
        <v>18220.8</v>
      </c>
      <c r="BB2" t="str">
        <f>CON_Utility_Name</f>
        <v>Chelan County PUD</v>
      </c>
      <c r="BC2" t="str">
        <f>REN_Contact_Name</f>
        <v>Melissa Lyons/Energy Trading</v>
      </c>
      <c r="BD2" t="str">
        <f>REN_Email</f>
        <v>melissa.lyons@chelanpud.org</v>
      </c>
      <c r="BE2">
        <f>REN_ERR_ApprenticeLabor</f>
        <v>0</v>
      </c>
      <c r="BF2">
        <f>REN_ERR_Biodiesel</f>
        <v>0</v>
      </c>
      <c r="BG2">
        <f>REN_ERR_Biomass</f>
        <v>0</v>
      </c>
      <c r="BH2">
        <f>REN_ERR_Geothermal</f>
        <v>0</v>
      </c>
      <c r="BI2">
        <f>REN_ERR_LandfillGas</f>
        <v>0</v>
      </c>
      <c r="BJ2">
        <f>REN_ERR_SewageGas</f>
        <v>0</v>
      </c>
      <c r="BK2">
        <f>REN_ERR_Solar</f>
        <v>0</v>
      </c>
      <c r="BL2">
        <f>REN_ERR_Water</f>
        <v>47469</v>
      </c>
      <c r="BM2">
        <f>REN_ERR_Wind</f>
        <v>0</v>
      </c>
      <c r="BN2">
        <f>REN_ERR_WOT</f>
        <v>0</v>
      </c>
      <c r="BO2">
        <f>REN_Expenditure_Amount_2014</f>
        <v>3282406.22</v>
      </c>
      <c r="BP2">
        <f>REN_Expenditure_Percent_2014</f>
        <v>6.5256584890656069E-2</v>
      </c>
      <c r="BQ2">
        <f>REN_Load_2012</f>
        <v>1564634</v>
      </c>
      <c r="BR2">
        <f>REN_Load_2013</f>
        <v>1599993</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0</v>
      </c>
      <c r="CB2">
        <f>REN_REC_WOT</f>
        <v>0</v>
      </c>
      <c r="CC2">
        <f>REN_RetailRevenueRequirement_2014</f>
        <v>50300000</v>
      </c>
      <c r="CD2">
        <f>REN_Submittal_Date</f>
        <v>41789</v>
      </c>
      <c r="CE2">
        <f>REN_Total_2014</f>
        <v>47469</v>
      </c>
      <c r="CF2" t="str">
        <f>REN_Utility_Name</f>
        <v>Chelan County PUD</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C17D56CCE8EE141BEFFFB21066E241B" ma:contentTypeVersion="0" ma:contentTypeDescription="Create a new document." ma:contentTypeScope="" ma:versionID="926cac1ee3d0a901def7b77aacc5ae34">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5134EF7-F04D-4218-953F-7A835D8EE7C1}">
  <ds:schemaRefs>
    <ds:schemaRef ds:uri="http://schemas.openxmlformats.org/package/2006/metadata/core-properties"/>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E9B2A95D-4FAF-45A2-A1C1-7165D3C5C8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2014-05-19T15:39:48Z</cp:lastPrinted>
  <dcterms:created xsi:type="dcterms:W3CDTF">2012-03-20T21:01:26Z</dcterms:created>
  <dcterms:modified xsi:type="dcterms:W3CDTF">2014-06-25T17:36:16Z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0x0101001C17D56CCE8EE141BEFFFB21066E241B</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BusinessUnit">
    <vt:lpwstr>Energy Office</vt:lpwstr>
  </property>
  <property fmtid="{D5CDD505-2E9C-101B-9397-08002B2CF9AE}" pid="9" name="Publish">
    <vt:lpwstr>Yes</vt:lpwstr>
  </property>
  <property fmtid="{D5CDD505-2E9C-101B-9397-08002B2CF9AE}" pid="10" name="Program">
    <vt:lpwstr>Energy and Technology</vt:lpwstr>
  </property>
  <property fmtid="{D5CDD505-2E9C-101B-9397-08002B2CF9AE}" pid="11" name="d599451e10b14aceb47619c4acf6a5e3">
    <vt:lpwstr>Energy and Technology43b76879-3ce9-450b-82c1-09e0fad106adState Energy Officea139cb90-38ff-40be-94b0-10864d67941eElectric Utilities06344503-e39b-47b5-a8fa-c7183fd9f2d6Energy Independence52a36080-840b-42db-9c95-a574519b8fa9</vt:lpwstr>
  </property>
  <property fmtid="{D5CDD505-2E9C-101B-9397-08002B2CF9AE}" pid="12" name="Topic">
    <vt:lpwstr>Energy</vt:lpwstr>
  </property>
  <property fmtid="{D5CDD505-2E9C-101B-9397-08002B2CF9AE}" pid="13" name="TaxCatchAll">
    <vt:lpwstr>5213222</vt:lpwstr>
  </property>
  <property fmtid="{D5CDD505-2E9C-101B-9397-08002B2CF9AE}" pid="14" name="RoutingRuleDescription">
    <vt:lpwstr>EIA 2014 Report Workbook for Utilities</vt:lpwstr>
  </property>
  <property fmtid="{D5CDD505-2E9C-101B-9397-08002B2CF9AE}" pid="15" name="Content Type">
    <vt:lpwstr>Form</vt:lpwstr>
  </property>
  <property fmtid="{D5CDD505-2E9C-101B-9397-08002B2CF9AE}" pid="16" name="Year">
    <vt:lpwstr>2014</vt:lpwstr>
  </property>
</Properties>
</file>