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27780" windowHeight="5445" tabRatio="719" activeTab="4"/>
  </bookViews>
  <sheets>
    <sheet name="Instructions - 2014" sheetId="21" r:id="rId1"/>
    <sheet name="Instructions - Revise 2012" sheetId="20" r:id="rId2"/>
    <sheet name="Conservation Report" sheetId="18" r:id="rId3"/>
    <sheet name="calcs for incremental cost" sheetId="22" r:id="rId4"/>
    <sheet name="Renewables Report" sheetId="16" r:id="rId5"/>
    <sheet name="Data" sheetId="19" state="hidden" r:id="rId6"/>
  </sheets>
  <externalReferences>
    <externalReference r:id="rId7"/>
    <externalReference r:id="rId8"/>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4">'Renewables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N11" i="16" l="1"/>
  <c r="N51" i="22"/>
  <c r="H22" i="22" s="1"/>
  <c r="H24" i="22" s="1"/>
  <c r="H26" i="22" s="1"/>
  <c r="E20" i="22"/>
  <c r="C19" i="22"/>
  <c r="C20" i="22" s="1"/>
  <c r="C18" i="22"/>
  <c r="D16" i="22"/>
  <c r="D19" i="22" s="1"/>
  <c r="D15" i="22"/>
  <c r="D18" i="22" s="1"/>
  <c r="G14" i="22"/>
  <c r="G19" i="22" s="1"/>
  <c r="F14" i="22"/>
  <c r="E14" i="22"/>
  <c r="D14" i="22"/>
  <c r="H14" i="22" s="1"/>
  <c r="D20" i="22" l="1"/>
  <c r="H19" i="22"/>
  <c r="G18" i="22"/>
  <c r="H18" i="22" s="1"/>
  <c r="G20" i="22" l="1"/>
  <c r="H20" i="22" s="1"/>
  <c r="H28" i="22" s="1"/>
  <c r="H29" i="22" l="1"/>
  <c r="C6" i="22"/>
  <c r="C7" i="22" s="1"/>
  <c r="C12" i="18" l="1"/>
  <c r="E12" i="18"/>
  <c r="N5" i="21" l="1"/>
  <c r="N5" i="20"/>
  <c r="N5" i="18"/>
  <c r="N5" i="16"/>
  <c r="A2" i="19" l="1"/>
  <c r="CF2" i="19"/>
  <c r="CD2" i="19"/>
  <c r="CC2" i="19"/>
  <c r="BR2" i="19"/>
  <c r="BQ2" i="19"/>
  <c r="BO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N13" i="16" l="1"/>
  <c r="BP2" i="19" s="1"/>
  <c r="C18" i="16" l="1"/>
  <c r="BL2" i="19" s="1"/>
  <c r="D18" i="16"/>
  <c r="BM2" i="19" s="1"/>
  <c r="E18" i="16"/>
  <c r="BK2" i="19" s="1"/>
  <c r="F18" i="16"/>
  <c r="BH2" i="19" s="1"/>
  <c r="G18" i="16"/>
  <c r="BI2" i="19" s="1"/>
  <c r="H18" i="16"/>
  <c r="BN2" i="19" s="1"/>
  <c r="I18" i="16"/>
  <c r="BJ2" i="19" s="1"/>
  <c r="J18" i="16"/>
  <c r="K18" i="16"/>
  <c r="L18" i="16"/>
  <c r="J6" i="18" l="1"/>
  <c r="H6" i="18"/>
  <c r="C31" i="18"/>
  <c r="H29" i="18" l="1"/>
  <c r="AD2" i="19" s="1"/>
  <c r="G29" i="18"/>
  <c r="AG2" i="19" s="1"/>
  <c r="E29" i="18"/>
  <c r="H2" i="19" s="1"/>
  <c r="D29" i="18"/>
  <c r="K2" i="19" s="1"/>
  <c r="H7" i="18" l="1"/>
  <c r="H8" i="18" s="1"/>
  <c r="M19" i="16" l="1"/>
  <c r="BV2" i="19" s="1"/>
  <c r="M20" i="16" l="1"/>
  <c r="F98" i="16"/>
  <c r="L19" i="16"/>
  <c r="BS2" i="19" s="1"/>
  <c r="F66" i="16"/>
  <c r="F36" i="16"/>
  <c r="K19" i="16"/>
  <c r="BU2" i="19" s="1"/>
  <c r="J19" i="16"/>
  <c r="BT2" i="19" s="1"/>
  <c r="I19" i="16"/>
  <c r="BY2" i="19" s="1"/>
  <c r="H19" i="16"/>
  <c r="CB2" i="19" s="1"/>
  <c r="G19" i="16"/>
  <c r="BX2" i="19" s="1"/>
  <c r="F19" i="16"/>
  <c r="BW2" i="19" s="1"/>
  <c r="E19" i="16"/>
  <c r="BZ2" i="19" s="1"/>
  <c r="D19" i="16"/>
  <c r="CA2" i="19" s="1"/>
  <c r="C20" i="16"/>
  <c r="N7" i="16"/>
  <c r="F20" i="16" l="1"/>
  <c r="J20" i="16"/>
  <c r="E20" i="16"/>
  <c r="G20" i="16"/>
  <c r="I20" i="16"/>
  <c r="H20" i="16"/>
  <c r="L20" i="16"/>
  <c r="D20" i="16"/>
  <c r="K20" i="16"/>
  <c r="N8" i="16" l="1"/>
  <c r="CE2" i="19" l="1"/>
  <c r="B2" i="19"/>
</calcChain>
</file>

<file path=xl/sharedStrings.xml><?xml version="1.0" encoding="utf-8"?>
<sst xmlns="http://schemas.openxmlformats.org/spreadsheetml/2006/main" count="403" uniqueCount="312">
  <si>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</si>
  <si>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</si>
  <si>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</si>
  <si>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</si>
  <si>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</si>
  <si>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</si>
  <si>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</si>
  <si>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</si>
  <si>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</si>
  <si>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</si>
  <si>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</si>
  <si>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</si>
  <si>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</si>
  <si>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</si>
  <si>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</si>
  <si>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</si>
  <si>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</si>
  <si>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</si>
  <si>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</si>
  <si>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</si>
  <si>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</si>
  <si>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</si>
  <si>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</si>
  <si>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</si>
  <si>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</si>
  <si>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</si>
  <si>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</si>
  <si>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</si>
  <si>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</si>
  <si>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</si>
  <si>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</si>
  <si>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</si>
  <si>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</si>
  <si>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</si>
  <si>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</si>
  <si>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</si>
  <si>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</si>
  <si>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</si>
  <si>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</si>
  <si>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</si>
  <si>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</si>
  <si>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</si>
  <si>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</si>
  <si>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</si>
  <si>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</si>
  <si>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</si>
  <si>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</si>
  <si>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</si>
  <si>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</si>
  <si>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</si>
  <si>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</si>
  <si>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</si>
  <si>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</si>
  <si>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</si>
  <si>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</si>
  <si>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</si>
  <si>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</si>
  <si>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</si>
  <si>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</si>
  <si>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</si>
  <si>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</si>
  <si>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</si>
  <si>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</si>
  <si>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</si>
  <si>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</si>
  <si>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</si>
  <si>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</si>
  <si>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</si>
  <si>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</si>
  <si>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</si>
  <si>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</si>
  <si>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</si>
  <si>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</si>
  <si>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</si>
  <si>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</si>
  <si>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</si>
  <si>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</si>
  <si>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</si>
  <si>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</si>
  <si>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</si>
  <si>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</si>
  <si>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</si>
  <si>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</si>
  <si>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</si>
  <si>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</si>
  <si>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</si>
  <si>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</si>
  <si>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</si>
  <si>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</si>
  <si>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</si>
  <si>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</si>
  <si>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</si>
  <si>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</si>
  <si>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</si>
  <si>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</si>
  <si>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</si>
  <si>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</si>
  <si>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</si>
  <si>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</si>
  <si>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</si>
  <si>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</si>
  <si>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</si>
  <si>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</si>
  <si>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</si>
  <si>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</si>
  <si>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</si>
  <si>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</si>
  <si>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</si>
  <si>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</si>
  <si>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</si>
  <si>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</si>
  <si>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</si>
  <si>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</si>
  <si>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</si>
  <si>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</si>
  <si>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</si>
  <si>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</si>
  <si>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</si>
  <si>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</si>
  <si>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</si>
  <si>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</si>
  <si>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</si>
  <si>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</si>
  <si>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</si>
  <si>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</si>
  <si>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</si>
  <si>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</si>
  <si>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</si>
  <si>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</si>
  <si>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</si>
  <si>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</si>
  <si>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</si>
  <si>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</si>
  <si>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</si>
  <si>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</si>
  <si>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</si>
  <si>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</si>
  <si>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</si>
  <si>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</si>
  <si>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</si>
  <si>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</si>
  <si>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</si>
  <si>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</si>
  <si>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</si>
  <si>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</si>
  <si>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</si>
  <si>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</si>
  <si>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</si>
  <si>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</si>
  <si>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</si>
  <si>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</si>
  <si>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</si>
  <si>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</si>
  <si>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</si>
  <si>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</si>
  <si>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</si>
  <si>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</si>
  <si>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</si>
  <si>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</si>
  <si>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</si>
  <si>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</si>
  <si>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</si>
  <si>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</si>
  <si>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</si>
  <si>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</si>
  <si>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</si>
  <si>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</si>
  <si>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</si>
  <si>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</si>
  <si>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</si>
  <si>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</si>
  <si>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</si>
  <si>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</si>
  <si>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</si>
  <si>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</si>
  <si>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</si>
  <si>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</si>
  <si>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</si>
  <si>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</si>
  <si>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</si>
  <si>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</si>
  <si>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</si>
  <si>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</si>
  <si>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</si>
  <si>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</si>
  <si>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</si>
  <si>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</si>
  <si>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</si>
  <si>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</si>
  <si>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</si>
  <si>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</si>
  <si>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</si>
  <si>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</si>
  <si>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</si>
  <si>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</si>
  <si>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</si>
  <si>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</si>
  <si>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</si>
  <si>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</si>
  <si>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</si>
  <si>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</si>
  <si>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</si>
  <si>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</si>
  <si>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</si>
  <si>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</si>
  <si>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</si>
  <si>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</si>
  <si>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</si>
  <si>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</si>
  <si>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</si>
  <si>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</si>
  <si>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</si>
  <si>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</si>
  <si>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</si>
  <si>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</si>
  <si>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</si>
  <si>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</si>
  <si>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</si>
  <si>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</si>
  <si>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</si>
  <si>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Seattle City Light</t>
  </si>
  <si>
    <t>`</t>
  </si>
  <si>
    <t xml:space="preserve"> </t>
  </si>
  <si>
    <t>Mike Little - Conservation Resources Division</t>
  </si>
  <si>
    <t>206 684 3233</t>
  </si>
  <si>
    <t>michael.little@seattle.gov</t>
  </si>
  <si>
    <t>Robert W. Cromwell, Jr.</t>
  </si>
  <si>
    <t>206-684-3856</t>
  </si>
  <si>
    <t>Robert.Cromwell@seattle.gov</t>
  </si>
  <si>
    <t>Stateline Wind (2014)</t>
  </si>
  <si>
    <t>W249</t>
  </si>
  <si>
    <t>Wanapum Fish Bypass</t>
  </si>
  <si>
    <t>King County Metro Cogen</t>
  </si>
  <si>
    <t>W2772</t>
  </si>
  <si>
    <t>Stateline via BPA</t>
  </si>
  <si>
    <t>W248</t>
  </si>
  <si>
    <t>Condon via BPA</t>
  </si>
  <si>
    <t>W774</t>
  </si>
  <si>
    <t>Klondike I via BPA</t>
  </si>
  <si>
    <t>W238</t>
  </si>
  <si>
    <t>Klondike III via BPA</t>
  </si>
  <si>
    <t>W237</t>
  </si>
  <si>
    <t>Source:</t>
  </si>
  <si>
    <t>2014 Retail Revenue Forecast</t>
  </si>
  <si>
    <t>2014 Adopted Budget</t>
  </si>
  <si>
    <t>Incremental spending</t>
  </si>
  <si>
    <t>% of Retail Revenue</t>
  </si>
  <si>
    <t>Cost and Production Estimates</t>
  </si>
  <si>
    <t>Stateline</t>
  </si>
  <si>
    <t>Pro rated</t>
  </si>
  <si>
    <t>BPA RECs</t>
  </si>
  <si>
    <t>Wanapum</t>
  </si>
  <si>
    <t>King County</t>
  </si>
  <si>
    <t>Compliance</t>
  </si>
  <si>
    <t>Calendar</t>
  </si>
  <si>
    <t>For</t>
  </si>
  <si>
    <t>Amount</t>
  </si>
  <si>
    <t>Estimates [A]</t>
  </si>
  <si>
    <t>Compliance [B]</t>
  </si>
  <si>
    <t>[C]</t>
  </si>
  <si>
    <t>[D]</t>
  </si>
  <si>
    <t>[E]</t>
  </si>
  <si>
    <t>[F]</t>
  </si>
  <si>
    <t>Estimated Production (MWh orRECs) (1)</t>
  </si>
  <si>
    <t>Contract Price (2)</t>
  </si>
  <si>
    <t>Delivery Price ($/MWh) (3)</t>
  </si>
  <si>
    <t>Purchase Spending(4)</t>
  </si>
  <si>
    <t>Delivery Spending (5)</t>
  </si>
  <si>
    <t>Total Spending (6)</t>
  </si>
  <si>
    <t>Traditional Resource Price ($/MWh) (7)</t>
  </si>
  <si>
    <t>Traditional Resource Spending (8)</t>
  </si>
  <si>
    <t>Delivery (9)</t>
  </si>
  <si>
    <t>Total (10)</t>
  </si>
  <si>
    <t>Incremental Spending (11)</t>
  </si>
  <si>
    <t>Incremental Unit Price ($/MWh)</t>
  </si>
  <si>
    <t>Sources and Notes</t>
  </si>
  <si>
    <t>[A] SCL 2014 Revised Power Budget, May 2013</t>
  </si>
  <si>
    <t>[B] A pro-rated to amount of RECs needed for compliance</t>
  </si>
  <si>
    <t>[C] Estimated from Exhibit H, Revision 1 and estimates from BPA</t>
  </si>
  <si>
    <t>Stateline output, 2002-2006</t>
  </si>
  <si>
    <t>Mid-C Forward</t>
  </si>
  <si>
    <t>[D] RECs from Priest Rapids Project</t>
  </si>
  <si>
    <t>Normalized to 175 MW</t>
  </si>
  <si>
    <t>HLH</t>
  </si>
  <si>
    <t>LLH</t>
  </si>
  <si>
    <t>[E] RECs from King County West Point Cogen, SCL holds PPA</t>
  </si>
  <si>
    <t>[F] = sum [B] through + [E] where applicable</t>
  </si>
  <si>
    <t>Jan</t>
  </si>
  <si>
    <t>(1) Power or REC production estimates</t>
  </si>
  <si>
    <t>Feb</t>
  </si>
  <si>
    <t>(2) Stateline Power Purchase Contract price; BPA has not provided contract price; King County PPA price per contract.</t>
  </si>
  <si>
    <t>Mar</t>
  </si>
  <si>
    <t>(3) Stateline integration charge</t>
  </si>
  <si>
    <t>Apr</t>
  </si>
  <si>
    <t>(4) = (1) x (2)</t>
  </si>
  <si>
    <t>May</t>
  </si>
  <si>
    <t>(5) = (1) x (3)</t>
  </si>
  <si>
    <t>Jun</t>
  </si>
  <si>
    <t>(6) = (4) + (5)</t>
  </si>
  <si>
    <t>Jul</t>
  </si>
  <si>
    <t>(7) Forward market price quotes for delivery in 2014, as of May 2013, energy shape similar to Stateline</t>
  </si>
  <si>
    <t>Aug</t>
  </si>
  <si>
    <t>(8) = (D.1) x (7)</t>
  </si>
  <si>
    <t>Sep</t>
  </si>
  <si>
    <t>(9) Not applicable</t>
  </si>
  <si>
    <t>Oct</t>
  </si>
  <si>
    <t>(10) = (8) + (9)</t>
  </si>
  <si>
    <t>Nov</t>
  </si>
  <si>
    <t>(11) = (6) - (10)</t>
  </si>
  <si>
    <t>Dec</t>
  </si>
  <si>
    <t>Annual total (MWh)</t>
  </si>
  <si>
    <t>Average price ($/MWh)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</si>
</sst>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quot;$&quot;#,##0.00"/>
  </numFmts>
  <fonts count="4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0"/>
      <color indexed="8"/>
      <name val="Arial"/>
      <family val="2"/>
    </font>
    <font>
      <sz val="10"/>
      <color indexed="8"/>
      <name val="Arial"/>
      <family val="2"/>
    </font>
    <font>
      <i/>
      <sz val="11"/>
      <color indexed="8"/>
      <name val="Calibri"/>
      <family val="2"/>
    </font>
    <font>
      <b/>
      <sz val="11"/>
      <color theme="1"/>
      <name val="Calibri"/>
      <family val="2"/>
      <scheme val="minor"/>
    </font>
    <font>
      <b/>
      <sz val="10"/>
      <name val="Times New Roman"/>
      <family val="1"/>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indexed="22"/>
        <bgColor indexed="64"/>
      </patternFill>
    </fill>
    <fill>
      <patternFill patternType="solid">
        <fgColor theme="0" tint="-0.14999847407452621"/>
        <bgColor indexed="64"/>
      </patternFill>
    </fill>
  </fills>
  <borders count="52">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top/>
      <bottom style="double">
        <color indexed="64"/>
      </bottom>
      <diagonal/>
    </border>
  </borders>
  <cellStyleXfs count="5">
    <xf numFmtId="0" fontId="0" fillId="0" borderId="0"/>
    <xf numFmtId="43" fontId="11" fillId="0" borderId="0" applyFont="0" applyFill="0" applyBorder="0" applyAlignment="0" applyProtection="0"/>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9" fontId="11" fillId="0" borderId="0" applyFont="0" applyFill="0" applyBorder="0" applyAlignment="0" applyProtection="0"/>
  </cellStyleXfs>
  <cellXfs count="238">
    <xf numFmtId="0" fontId="0" fillId="0" borderId="0" xfId="0"/>
    <xf numFmtId="0" fontId="13" fillId="2" borderId="0" xfId="0" applyFont="1" applyFill="1"/>
    <xf numFmtId="0" fontId="14" fillId="2" borderId="0" xfId="0" applyFont="1" applyFill="1" applyBorder="1" applyAlignment="1"/>
    <xf numFmtId="0" fontId="14" fillId="2" borderId="0" xfId="0" applyFont="1" applyFill="1" applyBorder="1" applyAlignment="1">
      <alignment horizontal="right"/>
    </xf>
    <xf numFmtId="0" fontId="13" fillId="2" borderId="0" xfId="0" applyFont="1" applyFill="1" applyBorder="1" applyAlignment="1">
      <alignment horizontal="right"/>
    </xf>
    <xf numFmtId="0" fontId="13" fillId="2" borderId="0" xfId="0" applyFont="1" applyFill="1" applyAlignment="1">
      <alignment horizontal="right"/>
    </xf>
    <xf numFmtId="0" fontId="14" fillId="2" borderId="0" xfId="0" applyFont="1" applyFill="1" applyBorder="1" applyAlignment="1">
      <alignment horizontal="left"/>
    </xf>
    <xf numFmtId="0" fontId="13" fillId="2" borderId="0" xfId="0" applyFont="1" applyFill="1" applyBorder="1"/>
    <xf numFmtId="0" fontId="13" fillId="2" borderId="0" xfId="0" applyFont="1" applyFill="1" applyAlignment="1">
      <alignment horizontal="center"/>
    </xf>
    <xf numFmtId="0" fontId="13" fillId="2" borderId="0" xfId="0" applyFont="1" applyFill="1" applyBorder="1" applyAlignment="1">
      <alignment horizontal="center"/>
    </xf>
    <xf numFmtId="0" fontId="14" fillId="2" borderId="0" xfId="0" applyFont="1" applyFill="1" applyAlignment="1">
      <alignment horizontal="right"/>
    </xf>
    <xf numFmtId="0" fontId="14" fillId="2" borderId="0" xfId="0" applyFont="1" applyFill="1"/>
    <xf numFmtId="165" fontId="13" fillId="3" borderId="1" xfId="1" applyNumberFormat="1" applyFont="1" applyFill="1" applyBorder="1"/>
    <xf numFmtId="165" fontId="13" fillId="3" borderId="2" xfId="1" applyNumberFormat="1" applyFont="1" applyFill="1" applyBorder="1"/>
    <xf numFmtId="165" fontId="13" fillId="3" borderId="3" xfId="1" applyNumberFormat="1" applyFont="1" applyFill="1" applyBorder="1"/>
    <xf numFmtId="0" fontId="13" fillId="2" borderId="0" xfId="0" applyFont="1" applyFill="1" applyAlignment="1">
      <alignment wrapText="1"/>
    </xf>
    <xf numFmtId="0" fontId="15" fillId="2" borderId="0" xfId="0" applyFont="1" applyFill="1" applyBorder="1"/>
    <xf numFmtId="0" fontId="14" fillId="2" borderId="4" xfId="0" applyFont="1" applyFill="1" applyBorder="1" applyAlignment="1">
      <alignment horizontal="center" wrapText="1"/>
    </xf>
    <xf numFmtId="0" fontId="13" fillId="2" borderId="5" xfId="0" applyFont="1" applyFill="1" applyBorder="1"/>
    <xf numFmtId="0" fontId="14" fillId="2" borderId="6" xfId="0" applyFont="1" applyFill="1" applyBorder="1" applyAlignment="1">
      <alignment horizontal="right"/>
    </xf>
    <xf numFmtId="0" fontId="14" fillId="2" borderId="0" xfId="0" applyFont="1" applyFill="1" applyBorder="1"/>
    <xf numFmtId="165" fontId="14" fillId="2" borderId="0" xfId="0" applyNumberFormat="1" applyFont="1" applyFill="1" applyBorder="1" applyAlignment="1">
      <alignment horizontal="center"/>
    </xf>
    <xf numFmtId="165" fontId="14" fillId="2" borderId="0" xfId="1" applyNumberFormat="1" applyFont="1" applyFill="1" applyBorder="1" applyAlignment="1">
      <alignment horizontal="center"/>
    </xf>
    <xf numFmtId="0" fontId="13" fillId="2" borderId="0" xfId="0" applyFont="1" applyFill="1" applyAlignment="1">
      <alignment vertical="top"/>
    </xf>
    <xf numFmtId="0" fontId="13" fillId="2" borderId="0" xfId="0" applyFont="1" applyFill="1" applyAlignment="1"/>
    <xf numFmtId="0" fontId="16" fillId="2" borderId="0" xfId="0" applyFont="1" applyFill="1" applyAlignment="1">
      <alignment horizontal="center" vertical="center"/>
    </xf>
    <xf numFmtId="0" fontId="13" fillId="2" borderId="7" xfId="0" applyFont="1" applyFill="1" applyBorder="1"/>
    <xf numFmtId="0" fontId="17" fillId="2" borderId="0" xfId="0" applyFont="1" applyFill="1" applyBorder="1" applyAlignment="1">
      <alignment horizontal="center" vertical="center" wrapText="1"/>
    </xf>
    <xf numFmtId="0" fontId="13" fillId="2" borderId="0" xfId="0" applyFont="1" applyFill="1" applyBorder="1" applyAlignment="1"/>
    <xf numFmtId="0" fontId="18" fillId="2" borderId="0" xfId="0" applyFont="1" applyFill="1"/>
    <xf numFmtId="0" fontId="18" fillId="0" borderId="0" xfId="0" applyFont="1" applyAlignment="1">
      <alignment wrapText="1"/>
    </xf>
    <xf numFmtId="0" fontId="16" fillId="2" borderId="3"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165" fontId="14"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3" fillId="2" borderId="12" xfId="0" applyFont="1" applyFill="1" applyBorder="1" applyAlignment="1">
      <alignment horizontal="right"/>
    </xf>
    <xf numFmtId="0" fontId="14" fillId="2" borderId="13" xfId="0" applyFont="1" applyFill="1" applyBorder="1"/>
    <xf numFmtId="0" fontId="6" fillId="4" borderId="14" xfId="0" applyFont="1" applyFill="1" applyBorder="1" applyAlignment="1">
      <alignment horizontal="right"/>
    </xf>
    <xf numFmtId="0" fontId="14" fillId="4" borderId="14" xfId="0" applyFont="1" applyFill="1" applyBorder="1"/>
    <xf numFmtId="0" fontId="14" fillId="4" borderId="15" xfId="0" applyFont="1" applyFill="1" applyBorder="1"/>
    <xf numFmtId="0" fontId="14" fillId="4" borderId="12" xfId="0" applyFont="1" applyFill="1" applyBorder="1"/>
    <xf numFmtId="0" fontId="14" fillId="4" borderId="16" xfId="0" applyFont="1" applyFill="1" applyBorder="1"/>
    <xf numFmtId="0" fontId="6" fillId="2" borderId="0" xfId="0" applyFont="1" applyFill="1" applyAlignment="1">
      <alignment horizontal="right"/>
    </xf>
    <xf numFmtId="0" fontId="4" fillId="4" borderId="20"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14" fillId="4" borderId="21" xfId="0" applyFont="1" applyFill="1" applyBorder="1"/>
    <xf numFmtId="0" fontId="19" fillId="4" borderId="12" xfId="0" applyFont="1" applyFill="1" applyBorder="1"/>
    <xf numFmtId="165" fontId="13" fillId="4" borderId="1" xfId="1" applyNumberFormat="1" applyFont="1" applyFill="1" applyBorder="1"/>
    <xf numFmtId="165" fontId="13" fillId="4" borderId="23" xfId="1" applyNumberFormat="1" applyFont="1" applyFill="1" applyBorder="1"/>
    <xf numFmtId="165" fontId="13" fillId="4" borderId="24" xfId="1" applyNumberFormat="1" applyFont="1" applyFill="1" applyBorder="1"/>
    <xf numFmtId="165" fontId="13" fillId="4" borderId="25" xfId="1" applyNumberFormat="1" applyFont="1" applyFill="1" applyBorder="1"/>
    <xf numFmtId="165" fontId="13" fillId="4" borderId="26" xfId="1" applyNumberFormat="1" applyFont="1" applyFill="1" applyBorder="1"/>
    <xf numFmtId="165" fontId="13" fillId="4" borderId="2" xfId="1" applyNumberFormat="1" applyFont="1" applyFill="1" applyBorder="1"/>
    <xf numFmtId="165" fontId="13" fillId="4" borderId="18" xfId="1" applyNumberFormat="1" applyFont="1" applyFill="1" applyBorder="1"/>
    <xf numFmtId="165" fontId="20" fillId="4" borderId="10" xfId="1" applyNumberFormat="1" applyFont="1" applyFill="1" applyBorder="1" applyAlignment="1">
      <alignment horizontal="center"/>
    </xf>
    <xf numFmtId="165" fontId="20" fillId="4" borderId="6" xfId="1" applyNumberFormat="1" applyFont="1" applyFill="1" applyBorder="1" applyAlignment="1">
      <alignment horizontal="center"/>
    </xf>
    <xf numFmtId="165" fontId="13" fillId="4" borderId="6" xfId="1" applyNumberFormat="1" applyFont="1" applyFill="1" applyBorder="1"/>
    <xf numFmtId="165" fontId="13" fillId="4" borderId="11" xfId="1" applyNumberFormat="1" applyFont="1" applyFill="1" applyBorder="1"/>
    <xf numFmtId="166" fontId="13" fillId="2" borderId="0" xfId="2" applyNumberFormat="1" applyFont="1" applyFill="1" applyBorder="1" applyAlignment="1">
      <alignment horizontal="right"/>
    </xf>
    <xf numFmtId="167" fontId="13" fillId="2" borderId="0" xfId="4" applyNumberFormat="1" applyFont="1" applyFill="1" applyBorder="1" applyAlignment="1">
      <alignment horizontal="right"/>
    </xf>
    <xf numFmtId="166" fontId="13" fillId="2" borderId="0" xfId="0" applyNumberFormat="1" applyFont="1" applyFill="1" applyBorder="1"/>
    <xf numFmtId="0" fontId="13" fillId="2" borderId="0" xfId="0" applyFont="1" applyFill="1" applyBorder="1" applyAlignment="1">
      <alignment horizontal="left"/>
    </xf>
    <xf numFmtId="0" fontId="23" fillId="2" borderId="29" xfId="0" applyFont="1" applyFill="1" applyBorder="1" applyAlignment="1">
      <alignment horizontal="right"/>
    </xf>
    <xf numFmtId="0" fontId="23" fillId="2" borderId="30" xfId="0" applyFont="1" applyFill="1" applyBorder="1" applyAlignment="1">
      <alignment horizontal="right"/>
    </xf>
    <xf numFmtId="0" fontId="23" fillId="2" borderId="0" xfId="0" applyFont="1" applyFill="1" applyAlignment="1">
      <alignment horizontal="right"/>
    </xf>
    <xf numFmtId="0" fontId="24" fillId="2" borderId="0" xfId="0" applyFont="1" applyFill="1"/>
    <xf numFmtId="0" fontId="24" fillId="2" borderId="0" xfId="0" applyFont="1" applyFill="1" applyBorder="1" applyAlignment="1"/>
    <xf numFmtId="0" fontId="23" fillId="2" borderId="0" xfId="0" applyFont="1" applyFill="1" applyBorder="1"/>
    <xf numFmtId="0" fontId="23" fillId="2" borderId="0" xfId="0" applyFont="1" applyFill="1"/>
    <xf numFmtId="0" fontId="14"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10" fillId="2" borderId="0" xfId="0" applyNumberFormat="1" applyFont="1" applyFill="1" applyBorder="1" applyAlignment="1"/>
    <xf numFmtId="0" fontId="14" fillId="2" borderId="0" xfId="0" applyFont="1" applyFill="1" applyBorder="1" applyAlignment="1">
      <alignment horizontal="center"/>
    </xf>
    <xf numFmtId="0" fontId="4" fillId="2" borderId="0" xfId="0" applyFont="1" applyFill="1" applyBorder="1" applyAlignment="1">
      <alignment horizontal="right"/>
    </xf>
    <xf numFmtId="0" fontId="6" fillId="2" borderId="0" xfId="0" applyFont="1" applyFill="1" applyAlignment="1">
      <alignment horizontal="center"/>
    </xf>
    <xf numFmtId="0" fontId="4" fillId="4" borderId="34" xfId="0" applyFont="1" applyFill="1" applyBorder="1" applyAlignment="1">
      <alignment horizontal="right"/>
    </xf>
    <xf numFmtId="0" fontId="4" fillId="4" borderId="12" xfId="0" applyFont="1" applyFill="1" applyBorder="1" applyAlignment="1">
      <alignment horizontal="right"/>
    </xf>
    <xf numFmtId="0" fontId="4" fillId="4" borderId="12" xfId="0" applyFont="1" applyFill="1" applyBorder="1" applyAlignment="1">
      <alignment horizontal="right" wrapText="1"/>
    </xf>
    <xf numFmtId="0" fontId="6" fillId="4" borderId="12" xfId="0" applyFont="1" applyFill="1" applyBorder="1" applyAlignment="1">
      <alignment horizontal="right"/>
    </xf>
    <xf numFmtId="0" fontId="4" fillId="2" borderId="0" xfId="0" applyFont="1" applyFill="1" applyBorder="1" applyAlignment="1">
      <alignment horizontal="right"/>
    </xf>
    <xf numFmtId="0" fontId="13" fillId="2" borderId="33" xfId="0" applyFont="1" applyFill="1" applyBorder="1"/>
    <xf numFmtId="9" fontId="4" fillId="3" borderId="37" xfId="0" applyNumberFormat="1" applyFont="1" applyFill="1" applyBorder="1" applyAlignment="1">
      <alignment horizontal="center"/>
    </xf>
    <xf numFmtId="0" fontId="13" fillId="2" borderId="38" xfId="0" applyFont="1" applyFill="1" applyBorder="1"/>
    <xf numFmtId="0" fontId="13" fillId="2" borderId="32" xfId="0" applyFont="1" applyFill="1" applyBorder="1"/>
    <xf numFmtId="0" fontId="4" fillId="2" borderId="32" xfId="0" applyFont="1" applyFill="1" applyBorder="1" applyAlignment="1">
      <alignment horizontal="right"/>
    </xf>
    <xf numFmtId="0" fontId="26" fillId="2" borderId="0" xfId="0" applyFont="1" applyFill="1" applyBorder="1" applyAlignment="1"/>
    <xf numFmtId="0" fontId="13" fillId="2" borderId="0" xfId="0" applyFont="1" applyFill="1" applyAlignment="1">
      <alignment horizontal="left"/>
    </xf>
    <xf numFmtId="0" fontId="4" fillId="2" borderId="0" xfId="0" applyFont="1" applyFill="1" applyAlignment="1">
      <alignment horizontal="right"/>
    </xf>
    <xf numFmtId="165" fontId="21" fillId="3" borderId="20" xfId="0" applyNumberFormat="1" applyFont="1" applyFill="1" applyBorder="1"/>
    <xf numFmtId="165" fontId="21" fillId="3" borderId="19" xfId="0" applyNumberFormat="1" applyFont="1" applyFill="1" applyBorder="1"/>
    <xf numFmtId="165" fontId="21" fillId="3" borderId="14" xfId="0" applyNumberFormat="1" applyFont="1" applyFill="1" applyBorder="1"/>
    <xf numFmtId="165" fontId="21" fillId="3" borderId="15" xfId="0" applyNumberFormat="1" applyFont="1" applyFill="1" applyBorder="1"/>
    <xf numFmtId="0" fontId="14" fillId="2" borderId="10" xfId="0" applyFont="1" applyFill="1" applyBorder="1" applyAlignment="1">
      <alignment horizontal="center" wrapText="1"/>
    </xf>
    <xf numFmtId="0" fontId="14" fillId="2" borderId="39" xfId="0" applyFont="1" applyFill="1" applyBorder="1" applyAlignment="1">
      <alignment horizontal="center" wrapText="1"/>
    </xf>
    <xf numFmtId="165" fontId="14" fillId="5" borderId="11" xfId="1" applyNumberFormat="1" applyFont="1" applyFill="1" applyBorder="1" applyAlignment="1">
      <alignment horizontal="right"/>
    </xf>
    <xf numFmtId="165" fontId="14" fillId="5" borderId="2" xfId="1" applyNumberFormat="1" applyFont="1" applyFill="1" applyBorder="1" applyAlignment="1">
      <alignment horizontal="right"/>
    </xf>
    <xf numFmtId="165" fontId="14" fillId="5" borderId="18" xfId="1" applyNumberFormat="1" applyFont="1" applyFill="1" applyBorder="1" applyAlignment="1">
      <alignment horizontal="right"/>
    </xf>
    <xf numFmtId="165" fontId="13" fillId="5" borderId="6" xfId="1" applyNumberFormat="1" applyFont="1" applyFill="1" applyBorder="1" applyAlignment="1">
      <alignment horizontal="center"/>
    </xf>
    <xf numFmtId="165" fontId="13" fillId="5" borderId="6" xfId="0" applyNumberFormat="1" applyFont="1" applyFill="1" applyBorder="1" applyAlignment="1">
      <alignment horizontal="center"/>
    </xf>
    <xf numFmtId="0" fontId="14" fillId="5" borderId="12" xfId="0" applyFont="1" applyFill="1" applyBorder="1"/>
    <xf numFmtId="0" fontId="14" fillId="5" borderId="12" xfId="0" applyFont="1" applyFill="1" applyBorder="1" applyAlignment="1">
      <alignment vertical="center" wrapText="1"/>
    </xf>
    <xf numFmtId="164" fontId="13" fillId="6" borderId="27" xfId="0" applyNumberFormat="1" applyFont="1" applyFill="1" applyBorder="1" applyAlignment="1">
      <alignment horizontal="center"/>
    </xf>
    <xf numFmtId="0" fontId="13" fillId="2" borderId="33" xfId="0" applyFont="1" applyFill="1" applyBorder="1" applyAlignment="1"/>
    <xf numFmtId="0" fontId="14" fillId="2" borderId="0" xfId="0" applyFont="1" applyFill="1" applyAlignment="1">
      <alignment horizontal="center"/>
    </xf>
    <xf numFmtId="0" fontId="13" fillId="0" borderId="41" xfId="0" applyFont="1" applyBorder="1" applyAlignment="1"/>
    <xf numFmtId="0" fontId="6" fillId="2" borderId="41" xfId="0" applyFont="1" applyFill="1" applyBorder="1" applyAlignment="1">
      <alignment horizontal="center"/>
    </xf>
    <xf numFmtId="164" fontId="13" fillId="7" borderId="27" xfId="0" applyNumberFormat="1" applyFont="1" applyFill="1" applyBorder="1" applyAlignment="1">
      <alignment horizontal="center"/>
    </xf>
    <xf numFmtId="164" fontId="13" fillId="7" borderId="28" xfId="0" applyNumberFormat="1" applyFont="1" applyFill="1" applyBorder="1" applyAlignment="1">
      <alignment horizontal="center"/>
    </xf>
    <xf numFmtId="169" fontId="13" fillId="5" borderId="24" xfId="1" applyNumberFormat="1" applyFont="1" applyFill="1" applyBorder="1" applyAlignment="1">
      <alignment horizontal="right"/>
    </xf>
    <xf numFmtId="169" fontId="13" fillId="2" borderId="0" xfId="0" applyNumberFormat="1" applyFont="1" applyFill="1" applyAlignment="1">
      <alignment horizontal="right"/>
    </xf>
    <xf numFmtId="169" fontId="14" fillId="3" borderId="2" xfId="1" applyNumberFormat="1" applyFont="1" applyFill="1" applyBorder="1" applyAlignment="1">
      <alignment horizontal="right"/>
    </xf>
    <xf numFmtId="0" fontId="28" fillId="2" borderId="0" xfId="0" applyFont="1" applyFill="1" applyBorder="1" applyAlignment="1">
      <alignment vertical="top" wrapText="1"/>
    </xf>
    <xf numFmtId="0" fontId="28" fillId="2" borderId="32" xfId="0" applyFont="1" applyFill="1" applyBorder="1" applyAlignment="1">
      <alignment vertical="top" wrapText="1"/>
    </xf>
    <xf numFmtId="0" fontId="24" fillId="2" borderId="0" xfId="0" applyFont="1" applyFill="1" applyBorder="1"/>
    <xf numFmtId="0" fontId="28" fillId="2" borderId="38" xfId="0" applyFont="1" applyFill="1" applyBorder="1" applyAlignment="1">
      <alignment vertical="top"/>
    </xf>
    <xf numFmtId="169" fontId="13" fillId="4" borderId="12" xfId="0" applyNumberFormat="1" applyFont="1" applyFill="1" applyBorder="1" applyAlignment="1"/>
    <xf numFmtId="167" fontId="13" fillId="3" borderId="13" xfId="4" applyNumberFormat="1" applyFont="1" applyFill="1" applyBorder="1" applyAlignment="1">
      <alignment horizontal="center"/>
    </xf>
    <xf numFmtId="0" fontId="29" fillId="0" borderId="42" xfId="0" applyFont="1" applyBorder="1" applyAlignment="1">
      <alignment vertical="center" wrapText="1"/>
    </xf>
    <xf numFmtId="0" fontId="29" fillId="0" borderId="43" xfId="0" applyFont="1" applyBorder="1" applyAlignment="1">
      <alignment vertical="center" wrapText="1"/>
    </xf>
    <xf numFmtId="0" fontId="23" fillId="0" borderId="43" xfId="0" applyFont="1" applyBorder="1" applyAlignment="1">
      <alignment vertical="center" wrapText="1"/>
    </xf>
    <xf numFmtId="0" fontId="23" fillId="0" borderId="44" xfId="0" applyFont="1" applyBorder="1" applyAlignment="1">
      <alignment vertical="center" wrapText="1"/>
    </xf>
    <xf numFmtId="0" fontId="31" fillId="8" borderId="45" xfId="0" applyFont="1" applyFill="1" applyBorder="1" applyAlignment="1">
      <alignment vertical="center"/>
    </xf>
    <xf numFmtId="0" fontId="31" fillId="8" borderId="46" xfId="0" applyFont="1" applyFill="1" applyBorder="1" applyAlignment="1">
      <alignment vertical="center"/>
    </xf>
    <xf numFmtId="0" fontId="33" fillId="8" borderId="43" xfId="0" applyFont="1" applyFill="1" applyBorder="1" applyAlignment="1">
      <alignment vertical="center" wrapText="1"/>
    </xf>
    <xf numFmtId="0" fontId="33" fillId="8" borderId="46" xfId="0" applyFont="1" applyFill="1" applyBorder="1" applyAlignment="1">
      <alignment vertical="center" wrapText="1"/>
    </xf>
    <xf numFmtId="0" fontId="31" fillId="8" borderId="43" xfId="0" applyFont="1" applyFill="1" applyBorder="1" applyAlignment="1">
      <alignment vertical="center" wrapText="1"/>
    </xf>
    <xf numFmtId="0" fontId="33" fillId="8" borderId="46" xfId="0" applyFont="1" applyFill="1" applyBorder="1" applyAlignment="1">
      <alignment vertical="center"/>
    </xf>
    <xf numFmtId="0" fontId="31" fillId="8" borderId="46" xfId="0" applyFont="1" applyFill="1" applyBorder="1" applyAlignment="1">
      <alignment vertical="center" wrapText="1"/>
    </xf>
    <xf numFmtId="0" fontId="29" fillId="8" borderId="46" xfId="0" applyFont="1" applyFill="1" applyBorder="1" applyAlignment="1">
      <alignment vertical="center"/>
    </xf>
    <xf numFmtId="0" fontId="31" fillId="8" borderId="43" xfId="0" applyFont="1" applyFill="1" applyBorder="1" applyAlignment="1">
      <alignment horizontal="left" vertical="center" wrapText="1" indent="5"/>
    </xf>
    <xf numFmtId="0" fontId="31" fillId="8" borderId="46" xfId="0" applyFont="1" applyFill="1" applyBorder="1" applyAlignment="1">
      <alignment horizontal="left" vertical="center" wrapText="1" indent="5"/>
    </xf>
    <xf numFmtId="0" fontId="33" fillId="8" borderId="43" xfId="0" applyFont="1" applyFill="1" applyBorder="1" applyAlignment="1">
      <alignment vertical="center"/>
    </xf>
    <xf numFmtId="0" fontId="35" fillId="8" borderId="43" xfId="0" applyFont="1" applyFill="1" applyBorder="1" applyAlignment="1">
      <alignment horizontal="left" vertical="center" wrapText="1" indent="5"/>
    </xf>
    <xf numFmtId="0" fontId="35" fillId="8" borderId="46" xfId="0" applyFont="1" applyFill="1" applyBorder="1" applyAlignment="1">
      <alignment horizontal="left" vertical="center" indent="5"/>
    </xf>
    <xf numFmtId="0" fontId="0" fillId="8" borderId="43" xfId="0" applyFill="1" applyBorder="1" applyAlignment="1">
      <alignment vertical="center" wrapText="1"/>
    </xf>
    <xf numFmtId="0" fontId="35" fillId="8" borderId="46" xfId="0" applyFont="1" applyFill="1" applyBorder="1" applyAlignment="1">
      <alignment horizontal="left" vertical="center" wrapText="1" indent="5"/>
    </xf>
    <xf numFmtId="0" fontId="34" fillId="8" borderId="46" xfId="0" applyFont="1" applyFill="1" applyBorder="1" applyAlignment="1">
      <alignment vertical="center" wrapText="1"/>
    </xf>
    <xf numFmtId="0" fontId="33" fillId="8" borderId="44" xfId="0" applyFont="1" applyFill="1" applyBorder="1" applyAlignment="1">
      <alignment vertical="center"/>
    </xf>
    <xf numFmtId="0" fontId="13" fillId="2" borderId="0" xfId="0" applyNumberFormat="1" applyFont="1" applyFill="1"/>
    <xf numFmtId="0" fontId="0" fillId="0" borderId="0" xfId="0" applyNumberFormat="1"/>
    <xf numFmtId="168" fontId="38" fillId="8" borderId="46" xfId="0" applyNumberFormat="1" applyFont="1" applyFill="1" applyBorder="1" applyAlignment="1">
      <alignment horizontal="left" vertical="center"/>
    </xf>
    <xf numFmtId="0" fontId="13" fillId="3" borderId="37" xfId="0" applyNumberFormat="1" applyFont="1" applyFill="1" applyBorder="1" applyAlignment="1">
      <alignment horizontal="center"/>
    </xf>
    <xf numFmtId="0" fontId="13" fillId="3" borderId="13" xfId="0" applyNumberFormat="1" applyFont="1" applyFill="1" applyBorder="1" applyAlignment="1">
      <alignment horizontal="center"/>
    </xf>
    <xf numFmtId="169" fontId="40" fillId="10" borderId="24" xfId="1" applyNumberFormat="1" applyFont="1" applyFill="1" applyBorder="1" applyAlignment="1">
      <alignment horizontal="center"/>
    </xf>
    <xf numFmtId="0" fontId="3" fillId="2" borderId="0" xfId="0" applyFont="1" applyFill="1"/>
    <xf numFmtId="169" fontId="3" fillId="2" borderId="0" xfId="0" applyNumberFormat="1" applyFont="1" applyFill="1" applyAlignment="1">
      <alignment horizontal="right"/>
    </xf>
    <xf numFmtId="2" fontId="13" fillId="2" borderId="0" xfId="0" applyNumberFormat="1" applyFont="1" applyFill="1"/>
    <xf numFmtId="0" fontId="14" fillId="2" borderId="31" xfId="0" applyFont="1" applyFill="1" applyBorder="1" applyAlignment="1"/>
    <xf numFmtId="0" fontId="14" fillId="2" borderId="40" xfId="0" applyFont="1" applyFill="1" applyBorder="1" applyAlignment="1">
      <alignment horizontal="center"/>
    </xf>
    <xf numFmtId="0" fontId="14" fillId="2" borderId="32" xfId="0" applyFont="1" applyFill="1" applyBorder="1" applyAlignment="1">
      <alignment horizontal="center"/>
    </xf>
    <xf numFmtId="0" fontId="13" fillId="2" borderId="0" xfId="0" applyFont="1" applyFill="1" applyBorder="1" applyAlignment="1">
      <alignment horizontal="right" wrapText="1"/>
    </xf>
    <xf numFmtId="0" fontId="13" fillId="2" borderId="37" xfId="0" applyFont="1" applyFill="1" applyBorder="1" applyAlignment="1">
      <alignment horizontal="right" wrapText="1"/>
    </xf>
    <xf numFmtId="0" fontId="39" fillId="9" borderId="20" xfId="0" applyFont="1" applyFill="1" applyBorder="1" applyAlignment="1">
      <alignment horizontal="left"/>
    </xf>
    <xf numFmtId="168" fontId="15" fillId="5" borderId="14" xfId="0" applyNumberFormat="1" applyFont="1" applyFill="1" applyBorder="1" applyAlignment="1">
      <alignment horizontal="left"/>
    </xf>
    <xf numFmtId="168" fontId="13" fillId="5" borderId="14" xfId="0" applyNumberFormat="1" applyFont="1" applyFill="1" applyBorder="1" applyAlignment="1">
      <alignment horizontal="left"/>
    </xf>
    <xf numFmtId="0" fontId="14" fillId="5" borderId="14" xfId="0" applyFont="1" applyFill="1" applyBorder="1" applyAlignment="1">
      <alignment horizontal="left"/>
    </xf>
    <xf numFmtId="0" fontId="13" fillId="5" borderId="14" xfId="0" applyFont="1" applyFill="1" applyBorder="1" applyAlignment="1">
      <alignment horizontal="left"/>
    </xf>
    <xf numFmtId="0" fontId="2" fillId="5" borderId="14" xfId="0" applyFont="1" applyFill="1" applyBorder="1" applyAlignment="1">
      <alignment horizontal="left"/>
    </xf>
    <xf numFmtId="0" fontId="12" fillId="5" borderId="15" xfId="3" applyFill="1" applyBorder="1" applyAlignment="1" applyProtection="1">
      <alignment horizontal="left"/>
    </xf>
    <xf numFmtId="0" fontId="13" fillId="5" borderId="15" xfId="0" applyFont="1" applyFill="1" applyBorder="1" applyAlignment="1">
      <alignment horizontal="left"/>
    </xf>
    <xf numFmtId="0" fontId="14" fillId="3" borderId="19" xfId="0" applyFont="1" applyFill="1" applyBorder="1" applyAlignment="1">
      <alignment horizontal="center"/>
    </xf>
    <xf numFmtId="0" fontId="14" fillId="2" borderId="0" xfId="0" applyFont="1" applyFill="1" applyBorder="1" applyAlignment="1">
      <alignment vertical="top" wrapText="1"/>
    </xf>
    <xf numFmtId="0" fontId="13" fillId="2" borderId="0" xfId="0" applyFont="1" applyFill="1" applyBorder="1" applyAlignment="1">
      <alignment vertical="top" wrapText="1"/>
    </xf>
    <xf numFmtId="0" fontId="13" fillId="2" borderId="31" xfId="0" applyFont="1" applyFill="1" applyBorder="1" applyAlignment="1"/>
    <xf numFmtId="0" fontId="13" fillId="2" borderId="0" xfId="0" applyFont="1" applyFill="1" applyBorder="1" applyAlignment="1"/>
    <xf numFmtId="0" fontId="14" fillId="2" borderId="0" xfId="0" applyFont="1" applyFill="1" applyBorder="1" applyAlignment="1">
      <alignment horizontal="center"/>
    </xf>
    <xf numFmtId="0" fontId="4" fillId="2" borderId="0" xfId="0" applyFont="1" applyFill="1" applyBorder="1" applyAlignment="1">
      <alignment horizontal="right" wrapText="1"/>
    </xf>
    <xf numFmtId="0" fontId="14" fillId="3" borderId="10" xfId="0" applyFont="1" applyFill="1" applyBorder="1" applyAlignment="1">
      <alignment horizontal="center"/>
    </xf>
    <xf numFmtId="0" fontId="13" fillId="0" borderId="1" xfId="0" applyFont="1" applyBorder="1" applyAlignment="1"/>
    <xf numFmtId="0" fontId="13" fillId="0" borderId="17" xfId="0" applyFont="1" applyBorder="1" applyAlignment="1"/>
    <xf numFmtId="0" fontId="14" fillId="2" borderId="11" xfId="0" applyFont="1" applyFill="1" applyBorder="1" applyAlignment="1">
      <alignment horizontal="center"/>
    </xf>
    <xf numFmtId="0" fontId="13" fillId="2" borderId="2" xfId="0" applyFont="1" applyFill="1" applyBorder="1" applyAlignment="1">
      <alignment horizontal="center"/>
    </xf>
    <xf numFmtId="0" fontId="13" fillId="2" borderId="18" xfId="0" applyFont="1" applyFill="1" applyBorder="1" applyAlignment="1">
      <alignment horizontal="center"/>
    </xf>
    <xf numFmtId="0" fontId="5" fillId="2" borderId="0" xfId="0" applyFont="1" applyFill="1" applyAlignment="1">
      <alignment horizontal="left" vertical="center" wrapText="1"/>
    </xf>
    <xf numFmtId="0" fontId="22" fillId="2" borderId="0" xfId="0" applyFont="1" applyFill="1" applyAlignment="1">
      <alignment horizontal="left" vertical="center" wrapText="1"/>
    </xf>
    <xf numFmtId="0" fontId="0" fillId="2" borderId="0" xfId="0" applyFill="1" applyAlignment="1">
      <alignment wrapText="1"/>
    </xf>
    <xf numFmtId="0" fontId="6" fillId="2" borderId="32" xfId="0" applyFont="1" applyFill="1" applyBorder="1" applyAlignment="1">
      <alignment horizontal="left"/>
    </xf>
    <xf numFmtId="0" fontId="14" fillId="0" borderId="35" xfId="0" applyFont="1" applyBorder="1" applyAlignment="1">
      <alignment horizontal="center" wrapText="1"/>
    </xf>
    <xf numFmtId="0" fontId="14" fillId="0" borderId="7" xfId="0" applyFont="1" applyBorder="1" applyAlignment="1">
      <alignment horizontal="center" wrapText="1"/>
    </xf>
    <xf numFmtId="0" fontId="14" fillId="0" borderId="36" xfId="0" applyFont="1" applyBorder="1" applyAlignment="1">
      <alignment horizontal="center" wrapText="1"/>
    </xf>
    <xf numFmtId="0" fontId="14" fillId="2" borderId="35" xfId="0" applyFont="1" applyFill="1" applyBorder="1" applyAlignment="1">
      <alignment horizontal="center"/>
    </xf>
    <xf numFmtId="0" fontId="14" fillId="2" borderId="7" xfId="0" applyFont="1" applyFill="1" applyBorder="1" applyAlignment="1">
      <alignment horizontal="center"/>
    </xf>
    <xf numFmtId="0" fontId="14" fillId="2" borderId="36" xfId="0" applyFont="1" applyFill="1" applyBorder="1" applyAlignment="1">
      <alignment horizontal="center"/>
    </xf>
    <xf numFmtId="0" fontId="14" fillId="4" borderId="20" xfId="0" applyFont="1" applyFill="1" applyBorder="1" applyAlignment="1">
      <alignment horizontal="center"/>
    </xf>
    <xf numFmtId="0" fontId="12" fillId="4" borderId="15" xfId="3" applyFill="1" applyBorder="1" applyAlignment="1" applyProtection="1">
      <alignment horizontal="center"/>
    </xf>
    <xf numFmtId="168" fontId="1" fillId="4" borderId="14" xfId="0" applyNumberFormat="1" applyFont="1" applyFill="1" applyBorder="1" applyAlignment="1">
      <alignment horizontal="center"/>
    </xf>
    <xf numFmtId="0" fontId="1" fillId="4" borderId="14" xfId="0" applyFont="1" applyFill="1" applyBorder="1" applyAlignment="1">
      <alignment horizontal="center"/>
    </xf>
    <xf numFmtId="0" fontId="1" fillId="4" borderId="15" xfId="0" applyFont="1" applyFill="1" applyBorder="1" applyAlignment="1">
      <alignment horizontal="center"/>
    </xf>
    <xf numFmtId="0" fontId="1" fillId="4" borderId="12" xfId="0" applyNumberFormat="1" applyFont="1" applyFill="1" applyBorder="1" applyAlignment="1">
      <alignment horizontal="center"/>
    </xf>
    <xf numFmtId="0" fontId="1" fillId="4" borderId="12" xfId="0" applyFont="1" applyFill="1" applyBorder="1" applyAlignment="1">
      <alignment horizontal="center"/>
    </xf>
    <xf numFmtId="169" fontId="1" fillId="4" borderId="12" xfId="0" applyNumberFormat="1" applyFont="1" applyFill="1" applyBorder="1" applyAlignment="1"/>
    <xf numFmtId="165" fontId="1" fillId="4" borderId="22" xfId="1" applyNumberFormat="1" applyFont="1" applyFill="1" applyBorder="1"/>
    <xf numFmtId="165" fontId="1" fillId="4" borderId="1" xfId="1" applyNumberFormat="1" applyFont="1" applyFill="1" applyBorder="1"/>
    <xf numFmtId="165" fontId="1" fillId="4" borderId="23" xfId="1" applyNumberFormat="1" applyFont="1" applyFill="1" applyBorder="1"/>
    <xf numFmtId="165" fontId="1" fillId="4" borderId="24" xfId="1" applyNumberFormat="1" applyFont="1" applyFill="1" applyBorder="1"/>
    <xf numFmtId="165" fontId="1" fillId="4" borderId="17" xfId="1" applyNumberFormat="1" applyFont="1" applyFill="1" applyBorder="1"/>
    <xf numFmtId="165" fontId="1" fillId="4" borderId="25" xfId="1" applyNumberFormat="1" applyFont="1" applyFill="1" applyBorder="1"/>
    <xf numFmtId="165" fontId="1" fillId="4" borderId="6" xfId="1" applyNumberFormat="1" applyFont="1" applyFill="1" applyBorder="1"/>
    <xf numFmtId="0" fontId="0" fillId="0" borderId="47" xfId="0" applyBorder="1"/>
    <xf numFmtId="0" fontId="0" fillId="0" borderId="41" xfId="0" applyBorder="1"/>
    <xf numFmtId="0" fontId="0" fillId="0" borderId="48" xfId="0" applyBorder="1"/>
    <xf numFmtId="0" fontId="0" fillId="0" borderId="29" xfId="0" applyBorder="1"/>
    <xf numFmtId="169" fontId="0" fillId="0" borderId="0" xfId="0" applyNumberFormat="1" applyBorder="1"/>
    <xf numFmtId="0" fontId="4" fillId="0" borderId="49" xfId="0" applyFont="1" applyBorder="1"/>
    <xf numFmtId="0" fontId="0" fillId="0" borderId="0" xfId="0" applyBorder="1"/>
    <xf numFmtId="0" fontId="0" fillId="0" borderId="49" xfId="0" applyBorder="1"/>
    <xf numFmtId="6" fontId="0" fillId="0" borderId="0" xfId="0" applyNumberFormat="1" applyBorder="1"/>
    <xf numFmtId="0" fontId="0" fillId="0" borderId="30" xfId="0" applyBorder="1"/>
    <xf numFmtId="10" fontId="0" fillId="0" borderId="40" xfId="4" applyNumberFormat="1" applyFont="1" applyBorder="1"/>
    <xf numFmtId="0" fontId="0" fillId="0" borderId="50" xfId="0" applyBorder="1"/>
    <xf numFmtId="0" fontId="0" fillId="0" borderId="0" xfId="0" applyBorder="1" applyAlignment="1">
      <alignment horizontal="right"/>
    </xf>
    <xf numFmtId="0" fontId="41" fillId="0" borderId="0" xfId="0" applyFont="1" applyAlignment="1">
      <alignment horizontal="right"/>
    </xf>
    <xf numFmtId="0" fontId="0" fillId="0" borderId="0" xfId="0" applyAlignment="1">
      <alignment horizontal="right"/>
    </xf>
    <xf numFmtId="8" fontId="0" fillId="0" borderId="0" xfId="0" applyNumberFormat="1"/>
    <xf numFmtId="38" fontId="0" fillId="0" borderId="0" xfId="0" applyNumberFormat="1" applyBorder="1"/>
    <xf numFmtId="165" fontId="0" fillId="0" borderId="0" xfId="1" applyNumberFormat="1" applyFont="1"/>
    <xf numFmtId="3" fontId="0" fillId="0" borderId="0" xfId="0" applyNumberFormat="1"/>
    <xf numFmtId="38" fontId="0" fillId="0" borderId="0" xfId="0" applyNumberFormat="1"/>
    <xf numFmtId="6" fontId="0" fillId="0" borderId="0" xfId="0" applyNumberFormat="1"/>
    <xf numFmtId="6" fontId="0" fillId="0" borderId="51" xfId="0" applyNumberFormat="1" applyBorder="1"/>
    <xf numFmtId="170" fontId="0" fillId="0" borderId="0" xfId="0" applyNumberFormat="1"/>
    <xf numFmtId="169" fontId="0" fillId="0" borderId="0" xfId="0" applyNumberFormat="1"/>
    <xf numFmtId="169" fontId="0" fillId="0" borderId="51" xfId="0" applyNumberFormat="1" applyBorder="1"/>
    <xf numFmtId="0" fontId="42" fillId="0" borderId="0" xfId="0" applyFont="1"/>
    <xf numFmtId="6" fontId="42" fillId="0" borderId="0" xfId="0" applyNumberFormat="1" applyFont="1"/>
    <xf numFmtId="0" fontId="4" fillId="0" borderId="0" xfId="0" applyFont="1"/>
    <xf numFmtId="0" fontId="0" fillId="0" borderId="0" xfId="0" applyAlignment="1"/>
    <xf numFmtId="14" fontId="0" fillId="0" borderId="0" xfId="0" applyNumberFormat="1" applyAlignment="1"/>
    <xf numFmtId="0" fontId="43" fillId="0" borderId="35" xfId="0" applyFont="1" applyBorder="1" applyAlignment="1">
      <alignment horizontal="left"/>
    </xf>
    <xf numFmtId="0" fontId="43" fillId="0" borderId="36" xfId="0" applyFont="1" applyBorder="1" applyAlignment="1">
      <alignment horizontal="center"/>
    </xf>
    <xf numFmtId="0" fontId="43" fillId="0" borderId="38" xfId="0" applyFont="1" applyBorder="1" applyAlignment="1">
      <alignment horizontal="center"/>
    </xf>
    <xf numFmtId="0" fontId="43" fillId="0" borderId="13" xfId="0" applyFont="1" applyBorder="1" applyAlignment="1">
      <alignment horizontal="center"/>
    </xf>
    <xf numFmtId="165" fontId="0" fillId="0" borderId="0" xfId="1" applyNumberFormat="1" applyFont="1" applyAlignment="1"/>
    <xf numFmtId="4" fontId="0" fillId="0" borderId="0" xfId="0" applyNumberFormat="1" applyAlignment="1">
      <alignment horizontal="right" wrapText="1"/>
    </xf>
    <xf numFmtId="8" fontId="0" fillId="0" borderId="0" xfId="0" applyNumberFormat="1" applyAlignment="1"/>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1100" b="0" i="0" baseline="0">
              <a:solidFill>
                <a:schemeClr val="dk1"/>
              </a:solidFill>
              <a:effectLst/>
              <a:latin typeface="+mn-lt"/>
              <a:ea typeface="+mn-ea"/>
              <a:cs typeface="+mn-cs"/>
            </a:rPr>
            <a:t>In setting the 2012-2013 energy conservation target, Seattle City Light used the Utility Analysis Option outlined in WAC 194-37-070.  A conservation potential assessment was completed in May, 2012 and is posted on Seattle City Light's website (link provided below).</a:t>
          </a:r>
          <a:endParaRPr lang="en-US">
            <a:effectLst/>
          </a:endParaRPr>
        </a:p>
        <a:p>
          <a:pPr rtl="0"/>
          <a:r>
            <a:rPr lang="en-US" sz="1100" b="0" i="0" baseline="0">
              <a:solidFill>
                <a:schemeClr val="dk1"/>
              </a:solidFill>
              <a:effectLst/>
              <a:latin typeface="+mn-lt"/>
              <a:ea typeface="+mn-ea"/>
              <a:cs typeface="+mn-cs"/>
            </a:rPr>
            <a:t>The conservation potential assessment established the 2012-2013 target at 24.01 aMW (210,327.6 MWh) and a ten-year potential of 120.02 aMW (1,051,375.2 MWh).   The Seattle City Council Energy and Environment Committee agenda for Tuesday, January 24, 2012 (agenda attached) included Resolution #31352 to approve the target/potential and indicated that this agenda item was noted as a Public Hearing in compliance with I-937.   The 2012-2013 target and the ten-year potential were approved by the Seattle City Council at the Full Council meeting (agenda attached) on January 30, 2012 when Resolution #31352 (attached) was signed.   </a:t>
          </a:r>
          <a:endParaRPr lang="en-US">
            <a:effectLst/>
          </a:endParaRPr>
        </a:p>
        <a:p>
          <a:pPr rtl="0"/>
          <a:r>
            <a:rPr lang="en-US" sz="1100" b="0" i="0" baseline="0">
              <a:solidFill>
                <a:schemeClr val="dk1"/>
              </a:solidFill>
              <a:effectLst/>
              <a:latin typeface="+mn-lt"/>
              <a:ea typeface="+mn-ea"/>
              <a:cs typeface="+mn-cs"/>
            </a:rPr>
            <a:t>   </a:t>
          </a:r>
          <a:endParaRPr lang="en-US">
            <a:effectLst/>
          </a:endParaRPr>
        </a:p>
        <a:p>
          <a:pPr rtl="0"/>
          <a:r>
            <a:rPr lang="en-US" sz="1100" b="0" i="0" baseline="0">
              <a:solidFill>
                <a:schemeClr val="dk1"/>
              </a:solidFill>
              <a:effectLst/>
              <a:latin typeface="+mn-lt"/>
              <a:ea typeface="+mn-ea"/>
              <a:cs typeface="+mn-cs"/>
            </a:rPr>
            <a:t>Seattle City Light's Conservation Potential Assessment: </a:t>
          </a:r>
          <a:endParaRPr lang="en-US">
            <a:effectLst/>
          </a:endParaRPr>
        </a:p>
        <a:p>
          <a:pPr rtl="0"/>
          <a:r>
            <a:rPr lang="en-US" sz="1100" b="0" i="0" baseline="0">
              <a:solidFill>
                <a:schemeClr val="dk1"/>
              </a:solidFill>
              <a:effectLst/>
              <a:latin typeface="+mn-lt"/>
              <a:ea typeface="+mn-ea"/>
              <a:cs typeface="+mn-cs"/>
            </a:rPr>
            <a:t>http://www.seattle.gov/light/Conserve/docs/SCLCPAFinalReport_05292012.pdf</a:t>
          </a:r>
          <a:endParaRPr lang="en-US">
            <a:effectLst/>
          </a:endParaRPr>
        </a:p>
        <a:p>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1100" b="0" i="0" baseline="0">
              <a:solidFill>
                <a:schemeClr val="dk1"/>
              </a:solidFill>
              <a:effectLst/>
              <a:latin typeface="+mn-lt"/>
              <a:ea typeface="+mn-ea"/>
              <a:cs typeface="+mn-cs"/>
            </a:rPr>
            <a:t>The 257,268 MWh achieved in 2012-2013 represents approximately 122.2% of the 2012-2013 biennial target of 210,327 MWh.  This achievement reflects the most current data available.  Seattle City Light is relying on BPA's IS 2.0 reporting system to capture all of its  energy conservation savings for 2012-2013.  However, SCL and BPA have not formally reconciled all the energy savings reported to BPA for this time period and some very minor  adjustments may result from resolving the reporting issues outlined below.   The utility is confident that any adjustments  will not signficantly alter the overall energy savings s reported here and the utility will still exceed its target.   </a:t>
          </a:r>
          <a:endParaRPr lang="en-US">
            <a:effectLst/>
          </a:endParaRPr>
        </a:p>
        <a:p>
          <a:pPr rtl="0"/>
          <a:r>
            <a:rPr lang="en-US" sz="1100" b="0" i="0" baseline="0">
              <a:solidFill>
                <a:schemeClr val="dk1"/>
              </a:solidFill>
              <a:effectLst/>
              <a:latin typeface="+mn-lt"/>
              <a:ea typeface="+mn-ea"/>
              <a:cs typeface="+mn-cs"/>
            </a:rPr>
            <a:t>  </a:t>
          </a:r>
          <a:endParaRPr lang="en-US">
            <a:effectLst/>
          </a:endParaRPr>
        </a:p>
        <a:p>
          <a:pPr rtl="0"/>
          <a:r>
            <a:rPr lang="en-US" sz="1100" b="0" i="0" baseline="0">
              <a:solidFill>
                <a:schemeClr val="dk1"/>
              </a:solidFill>
              <a:effectLst/>
              <a:latin typeface="+mn-lt"/>
              <a:ea typeface="+mn-ea"/>
              <a:cs typeface="+mn-cs"/>
            </a:rPr>
            <a:t>Over the next few weeks, BPA and SCL will work to reconcile the energy savings reported to BPA.  We see two areas where the reporting of energy savings for I-937 purposes and the reporting of energy savings to BPA may not be have been resolved at the time of this reporting:  </a:t>
          </a:r>
          <a:endParaRPr lang="en-US">
            <a:effectLst/>
          </a:endParaRPr>
        </a:p>
        <a:p>
          <a:r>
            <a:rPr lang="en-US" sz="1100" b="0" i="0" baseline="0">
              <a:solidFill>
                <a:schemeClr val="dk1"/>
              </a:solidFill>
              <a:effectLst/>
              <a:latin typeface="+mn-lt"/>
              <a:ea typeface="+mn-ea"/>
              <a:cs typeface="+mn-cs"/>
            </a:rPr>
            <a:t>1.  Seattle City Light has just completed an evaluation of its OPower delivered Home Energy Report Program.  The evaluation completed by DNV DL (KEMA), verified site savings of 15,422,510 kWh in 2012 and 16,747,814 kWh in 2013.  For this program, the applicable T&amp;D benefit has been added to reflect busbar savings in the 2012 Residential Sector energy savings.  And, because  this program has a short-lived measure life, we are adhereing to WAC 194-37-080 (2)(a), where , "The conservation has a measure life of at least two years, or, it the measure life is less than two years the utility can verify that it has acquired the conservation for the entire bienniuma conservation measure has a life", Seattle City Light is claiming only the 2012 energy savings for I-937 purposes.  How these energy savings will be reported to the BPA is still under discussion.  (attached is the recent draft evaluation)</a:t>
          </a:r>
          <a:endParaRPr lang="en-US">
            <a:effectLst/>
          </a:endParaRPr>
        </a:p>
        <a:p>
          <a:r>
            <a:rPr lang="en-US" sz="1100" b="0" i="0" baseline="0">
              <a:solidFill>
                <a:schemeClr val="dk1"/>
              </a:solidFill>
              <a:effectLst/>
              <a:latin typeface="+mn-lt"/>
              <a:ea typeface="+mn-ea"/>
              <a:cs typeface="+mn-cs"/>
            </a:rPr>
            <a:t>2.  At the time of this reporting, BPA's IS 2.0 system does not have the most up-to-date data for the NEEA direct and indirect funded energy savings.  Our report does reflect the most recent energy savings available from NEEA.    </a:t>
          </a:r>
          <a:endParaRPr lang="en-US">
            <a:effectLst/>
          </a:endParaRPr>
        </a:p>
        <a:p>
          <a:r>
            <a:rPr lang="en-US" sz="1100" b="0" i="0" baseline="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 </a:t>
          </a:r>
          <a:r>
            <a:rPr lang="en-US" sz="1100" b="0" i="0" baseline="0">
              <a:solidFill>
                <a:schemeClr val="dk1"/>
              </a:solidFill>
              <a:effectLst/>
              <a:latin typeface="+mn-lt"/>
              <a:ea typeface="+mn-ea"/>
              <a:cs typeface="+mn-cs"/>
            </a:rPr>
            <a:t>  </a:t>
          </a:r>
          <a:endParaRPr lang="en-US">
            <a:effectLst/>
          </a:endParaRPr>
        </a:p>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Please</a:t>
          </a:r>
          <a:r>
            <a:rPr lang="en-US" sz="1100" baseline="0">
              <a:solidFill>
                <a:schemeClr val="dk1"/>
              </a:solidFill>
              <a:effectLst/>
              <a:latin typeface="+mn-lt"/>
              <a:ea typeface="+mn-ea"/>
              <a:cs typeface="+mn-cs"/>
            </a:rPr>
            <a:t> see 'calcs for incremental cost'  sheet for inputs.</a:t>
          </a:r>
          <a:endParaRPr lang="en-US">
            <a:effectLst/>
          </a:endParaRPr>
        </a:p>
        <a:p>
          <a:r>
            <a:rPr lang="en-US" sz="1100" baseline="0">
              <a:solidFill>
                <a:schemeClr val="dk1"/>
              </a:solidFill>
              <a:effectLst/>
              <a:latin typeface="+mn-lt"/>
              <a:ea typeface="+mn-ea"/>
              <a:cs typeface="+mn-cs"/>
            </a:rPr>
            <a:t>City Light estimates quantity and spending on eligible resources used for compliance.</a:t>
          </a:r>
          <a:endParaRPr lang="en-US">
            <a:effectLst/>
          </a:endParaRPr>
        </a:p>
        <a:p>
          <a:r>
            <a:rPr lang="en-US" sz="1100" baseline="0">
              <a:solidFill>
                <a:schemeClr val="dk1"/>
              </a:solidFill>
              <a:effectLst/>
              <a:latin typeface="+mn-lt"/>
              <a:ea typeface="+mn-ea"/>
              <a:cs typeface="+mn-cs"/>
            </a:rPr>
            <a:t>Traditional resource spending is based on the forward market prices purchased in the same monthly amounts as the portion of  Stateline output used for compliance.</a:t>
          </a:r>
          <a:endParaRPr lang="en-US">
            <a:effectLst/>
          </a:endParaRPr>
        </a:p>
        <a:p>
          <a:r>
            <a:rPr lang="en-US" sz="1100">
              <a:solidFill>
                <a:schemeClr val="dk1"/>
              </a:solidFill>
              <a:effectLst/>
              <a:latin typeface="+mn-lt"/>
              <a:ea typeface="+mn-ea"/>
              <a:cs typeface="+mn-cs"/>
            </a:rPr>
            <a:t/>
          </a:r>
          <a:br>
            <a:rPr lang="en-US" sz="1100">
              <a:solidFill>
                <a:schemeClr val="dk1"/>
              </a:solidFill>
              <a:effectLst/>
              <a:latin typeface="+mn-lt"/>
              <a:ea typeface="+mn-ea"/>
              <a:cs typeface="+mn-cs"/>
            </a:rPr>
          </a:br>
          <a:endParaRPr lang="en-US">
            <a:effectLst/>
          </a:endParaRPr>
        </a:p>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City Light has</a:t>
          </a:r>
          <a:r>
            <a:rPr lang="en-US" sz="1100" baseline="0">
              <a:solidFill>
                <a:schemeClr val="dk1"/>
              </a:solidFill>
              <a:effectLst/>
              <a:latin typeface="+mn-lt"/>
              <a:ea typeface="+mn-ea"/>
              <a:cs typeface="+mn-cs"/>
            </a:rPr>
            <a:t> other sources of eligible resources, which it may use for compliance.</a:t>
          </a:r>
          <a:endParaRPr lang="en-US">
            <a:effectLst/>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IA-2014-ReportWorkbook-5-1-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4"/>
      <sheetName val="Instructions - Revise 2012"/>
      <sheetName val="Conservation Report"/>
      <sheetName val="calcs for incremental cost"/>
      <sheetName val="Renewables Report"/>
      <sheetName val="Data"/>
    </sheetNames>
    <sheetDataSet>
      <sheetData sheetId="0" refreshError="1"/>
      <sheetData sheetId="1" refreshError="1"/>
      <sheetData sheetId="2" refreshError="1"/>
      <sheetData sheetId="3" refreshError="1"/>
      <sheetData sheetId="4">
        <row r="44">
          <cell r="F44">
            <v>221263</v>
          </cell>
        </row>
        <row r="45">
          <cell r="E45">
            <v>1595</v>
          </cell>
        </row>
        <row r="46">
          <cell r="K46">
            <v>17500</v>
          </cell>
        </row>
        <row r="72">
          <cell r="F72">
            <v>11000</v>
          </cell>
        </row>
        <row r="73">
          <cell r="F73">
            <v>6000</v>
          </cell>
        </row>
        <row r="74">
          <cell r="F74">
            <v>3000</v>
          </cell>
        </row>
        <row r="75">
          <cell r="F75">
            <v>6000</v>
          </cell>
        </row>
        <row r="76">
          <cell r="O76">
            <v>17500</v>
          </cell>
        </row>
      </sheetData>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michael.little@seattle.gov"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Robert.Cromwell@seattle.gov"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workbookViewId="0">
      <selection activeCell="A5" sqref="A5"/>
    </sheetView>
  </sheetViews>
  <sheetFormatPr defaultRowHeight="15" x14ac:dyDescent="0.25"/>
  <cols>
    <col min="1" max="1" width="135.140625" customWidth="1"/>
    <col min="14" max="14" width="11.7109375" customWidth="1"/>
  </cols>
  <sheetData>
    <row r="1" spans="1:14" ht="18.75" x14ac:dyDescent="0.25">
      <c r="A1" s="124" t="s">
        <v>178</v>
      </c>
    </row>
    <row r="2" spans="1:14" x14ac:dyDescent="0.25">
      <c r="A2" s="143" t="s">
        <v>219</v>
      </c>
    </row>
    <row r="3" spans="1:14" x14ac:dyDescent="0.25">
      <c r="A3" s="125"/>
      <c r="N3" s="142"/>
    </row>
    <row r="4" spans="1:14" x14ac:dyDescent="0.25">
      <c r="A4" s="126" t="s">
        <v>179</v>
      </c>
    </row>
    <row r="5" spans="1:14" x14ac:dyDescent="0.25">
      <c r="A5" s="126" t="s">
        <v>180</v>
      </c>
      <c r="N5">
        <f>IF(REN_Load_2012+REN_Load_2013&gt;0,AVERAGE(REN_Load_2012,REN_Load_2013),0)</f>
        <v>9461916.5</v>
      </c>
    </row>
    <row r="6" spans="1:14" x14ac:dyDescent="0.25">
      <c r="A6" s="127" t="s">
        <v>181</v>
      </c>
    </row>
    <row r="7" spans="1:14" x14ac:dyDescent="0.25">
      <c r="A7" s="125"/>
    </row>
    <row r="8" spans="1:14" ht="28.5" x14ac:dyDescent="0.25">
      <c r="A8" s="128" t="s">
        <v>182</v>
      </c>
    </row>
    <row r="9" spans="1:14" ht="28.5" x14ac:dyDescent="0.25">
      <c r="A9" s="128" t="s">
        <v>183</v>
      </c>
    </row>
    <row r="10" spans="1:14" x14ac:dyDescent="0.25">
      <c r="A10" s="128"/>
    </row>
    <row r="11" spans="1:14" x14ac:dyDescent="0.25">
      <c r="A11" s="129" t="s">
        <v>184</v>
      </c>
    </row>
    <row r="12" spans="1:14" x14ac:dyDescent="0.25">
      <c r="A12" s="125"/>
    </row>
    <row r="13" spans="1:14" ht="72.75" x14ac:dyDescent="0.25">
      <c r="A13" s="130" t="s">
        <v>185</v>
      </c>
    </row>
    <row r="14" spans="1:14" x14ac:dyDescent="0.25">
      <c r="A14" s="125"/>
    </row>
    <row r="15" spans="1:14" ht="29.25" x14ac:dyDescent="0.25">
      <c r="A15" s="127" t="s">
        <v>186</v>
      </c>
    </row>
    <row r="16" spans="1:14" x14ac:dyDescent="0.25">
      <c r="A16" s="130"/>
    </row>
    <row r="17" spans="1:1" x14ac:dyDescent="0.25">
      <c r="A17" s="125"/>
    </row>
    <row r="18" spans="1:1" ht="18.75" x14ac:dyDescent="0.25">
      <c r="A18" s="131" t="s">
        <v>187</v>
      </c>
    </row>
    <row r="19" spans="1:1" x14ac:dyDescent="0.25">
      <c r="A19" s="126" t="s">
        <v>188</v>
      </c>
    </row>
    <row r="20" spans="1:1" ht="28.5" x14ac:dyDescent="0.25">
      <c r="A20" s="132" t="s">
        <v>189</v>
      </c>
    </row>
    <row r="21" spans="1:1" x14ac:dyDescent="0.25">
      <c r="A21" s="133" t="s">
        <v>190</v>
      </c>
    </row>
    <row r="22" spans="1:1" x14ac:dyDescent="0.25">
      <c r="A22" s="125"/>
    </row>
    <row r="23" spans="1:1" x14ac:dyDescent="0.25">
      <c r="A23" s="134" t="s">
        <v>191</v>
      </c>
    </row>
    <row r="24" spans="1:1" ht="29.25" x14ac:dyDescent="0.25">
      <c r="A24" s="135" t="s">
        <v>192</v>
      </c>
    </row>
    <row r="25" spans="1:1" x14ac:dyDescent="0.25">
      <c r="A25" s="136" t="s">
        <v>193</v>
      </c>
    </row>
    <row r="26" spans="1:1" x14ac:dyDescent="0.25">
      <c r="A26" s="125"/>
    </row>
    <row r="27" spans="1:1" ht="43.5" x14ac:dyDescent="0.25">
      <c r="A27" s="126" t="s">
        <v>194</v>
      </c>
    </row>
    <row r="28" spans="1:1" x14ac:dyDescent="0.25">
      <c r="A28" s="137"/>
    </row>
    <row r="29" spans="1:1" ht="42.75" x14ac:dyDescent="0.25">
      <c r="A29" s="130" t="s">
        <v>195</v>
      </c>
    </row>
    <row r="30" spans="1:1" x14ac:dyDescent="0.25">
      <c r="A30" s="125"/>
    </row>
    <row r="31" spans="1:1" ht="43.5" x14ac:dyDescent="0.25">
      <c r="A31" s="127" t="s">
        <v>196</v>
      </c>
    </row>
    <row r="32" spans="1:1" x14ac:dyDescent="0.25">
      <c r="A32" s="125"/>
    </row>
    <row r="33" spans="1:1" ht="57.75" x14ac:dyDescent="0.25">
      <c r="A33" s="126" t="s">
        <v>197</v>
      </c>
    </row>
    <row r="34" spans="1:1" x14ac:dyDescent="0.25">
      <c r="A34" s="128"/>
    </row>
    <row r="35" spans="1:1" ht="28.5" x14ac:dyDescent="0.25">
      <c r="A35" s="128" t="s">
        <v>198</v>
      </c>
    </row>
    <row r="36" spans="1:1" x14ac:dyDescent="0.25">
      <c r="A36" s="135" t="s">
        <v>199</v>
      </c>
    </row>
    <row r="37" spans="1:1" x14ac:dyDescent="0.25">
      <c r="A37" s="135" t="s">
        <v>200</v>
      </c>
    </row>
    <row r="38" spans="1:1" x14ac:dyDescent="0.25">
      <c r="A38" s="138" t="s">
        <v>201</v>
      </c>
    </row>
    <row r="39" spans="1:1" x14ac:dyDescent="0.25">
      <c r="A39" s="125"/>
    </row>
    <row r="40" spans="1:1" ht="29.25" x14ac:dyDescent="0.25">
      <c r="A40" s="127" t="s">
        <v>202</v>
      </c>
    </row>
    <row r="41" spans="1:1" x14ac:dyDescent="0.25">
      <c r="A41" s="125"/>
    </row>
    <row r="42" spans="1:1" ht="18.75" x14ac:dyDescent="0.25">
      <c r="A42" s="131" t="s">
        <v>203</v>
      </c>
    </row>
    <row r="43" spans="1:1" ht="42.75" x14ac:dyDescent="0.25">
      <c r="A43" s="130" t="s">
        <v>204</v>
      </c>
    </row>
    <row r="44" spans="1:1" x14ac:dyDescent="0.25">
      <c r="A44" s="125"/>
    </row>
    <row r="45" spans="1:1" ht="43.5" x14ac:dyDescent="0.25">
      <c r="A45" s="127" t="s">
        <v>205</v>
      </c>
    </row>
    <row r="46" spans="1:1" x14ac:dyDescent="0.25">
      <c r="A46" s="125"/>
    </row>
    <row r="47" spans="1:1" ht="43.5" x14ac:dyDescent="0.25">
      <c r="A47" s="127" t="s">
        <v>206</v>
      </c>
    </row>
    <row r="48" spans="1:1" x14ac:dyDescent="0.25">
      <c r="A48" s="125"/>
    </row>
    <row r="49" spans="1:1" ht="43.5" x14ac:dyDescent="0.25">
      <c r="A49" s="127" t="s">
        <v>207</v>
      </c>
    </row>
    <row r="50" spans="1:1" x14ac:dyDescent="0.25">
      <c r="A50" s="125"/>
    </row>
    <row r="51" spans="1:1" x14ac:dyDescent="0.25">
      <c r="A51" s="126" t="s">
        <v>208</v>
      </c>
    </row>
    <row r="52" spans="1:1" ht="42.75" x14ac:dyDescent="0.25">
      <c r="A52" s="130" t="s">
        <v>209</v>
      </c>
    </row>
    <row r="53" spans="1:1" x14ac:dyDescent="0.25">
      <c r="A53" s="125"/>
    </row>
    <row r="54" spans="1:1" ht="57.75" x14ac:dyDescent="0.25">
      <c r="A54" s="139" t="s">
        <v>210</v>
      </c>
    </row>
    <row r="55" spans="1:1" x14ac:dyDescent="0.25">
      <c r="A55" s="125"/>
    </row>
    <row r="56" spans="1:1" ht="72" x14ac:dyDescent="0.25">
      <c r="A56" s="127" t="s">
        <v>211</v>
      </c>
    </row>
    <row r="57" spans="1:1" x14ac:dyDescent="0.25">
      <c r="A57" s="125"/>
    </row>
    <row r="58" spans="1:1" ht="57.75" x14ac:dyDescent="0.25">
      <c r="A58" s="127" t="s">
        <v>212</v>
      </c>
    </row>
    <row r="59" spans="1:1" x14ac:dyDescent="0.25">
      <c r="A59" s="125"/>
    </row>
    <row r="60" spans="1:1" x14ac:dyDescent="0.25">
      <c r="A60" s="126" t="s">
        <v>213</v>
      </c>
    </row>
    <row r="61" spans="1:1" ht="42.75" x14ac:dyDescent="0.25">
      <c r="A61" s="130" t="s">
        <v>214</v>
      </c>
    </row>
    <row r="62" spans="1:1" x14ac:dyDescent="0.25">
      <c r="A62" s="125"/>
    </row>
    <row r="63" spans="1:1" x14ac:dyDescent="0.25">
      <c r="A63" s="126" t="s">
        <v>215</v>
      </c>
    </row>
    <row r="64" spans="1:1" ht="42.75" x14ac:dyDescent="0.25">
      <c r="A64" s="130" t="s">
        <v>216</v>
      </c>
    </row>
    <row r="65" spans="1:1" x14ac:dyDescent="0.25">
      <c r="A65" s="125"/>
    </row>
    <row r="66" spans="1:1" ht="15.75" thickBot="1" x14ac:dyDescent="0.3">
      <c r="A66" s="140"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20" t="s">
        <v>176</v>
      </c>
    </row>
    <row r="2" spans="1:14" ht="18.75" x14ac:dyDescent="0.25">
      <c r="A2" s="121"/>
    </row>
    <row r="3" spans="1:14" ht="57" x14ac:dyDescent="0.25">
      <c r="A3" s="122" t="s">
        <v>218</v>
      </c>
      <c r="N3" s="142"/>
    </row>
    <row r="4" spans="1:14" x14ac:dyDescent="0.25">
      <c r="A4" s="122"/>
    </row>
    <row r="5" spans="1:14" ht="29.25" thickBot="1" x14ac:dyDescent="0.3">
      <c r="A5" s="123" t="s">
        <v>177</v>
      </c>
      <c r="N5">
        <f>IF(REN_Load_2012+REN_Load_2013&gt;0,AVERAGE(REN_Load_2012,REN_Load_2013),0)</f>
        <v>9461916.5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N46"/>
  <sheetViews>
    <sheetView zoomScaleNormal="100" workbookViewId="0">
      <selection activeCell="N5" sqref="N5"/>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88" t="s">
        <v>77</v>
      </c>
    </row>
    <row r="2" spans="1:14" ht="15" customHeight="1" x14ac:dyDescent="0.2">
      <c r="B2" s="2"/>
    </row>
    <row r="3" spans="1:14" ht="14.25" customHeight="1" thickBot="1" x14ac:dyDescent="0.25">
      <c r="B3" s="3" t="s">
        <v>4</v>
      </c>
      <c r="C3" s="155" t="s">
        <v>220</v>
      </c>
      <c r="D3" s="155"/>
      <c r="E3" s="155"/>
      <c r="G3" s="151" t="s">
        <v>85</v>
      </c>
      <c r="H3" s="151"/>
      <c r="I3" s="151"/>
      <c r="J3" s="151"/>
      <c r="N3" s="141"/>
    </row>
    <row r="4" spans="1:14" ht="15" customHeight="1" x14ac:dyDescent="0.2">
      <c r="B4" s="4" t="s">
        <v>84</v>
      </c>
      <c r="C4" s="156">
        <v>41780</v>
      </c>
      <c r="D4" s="157"/>
      <c r="E4" s="157"/>
      <c r="F4" s="16"/>
      <c r="H4" s="108" t="s">
        <v>81</v>
      </c>
      <c r="I4" s="107"/>
      <c r="J4" s="108" t="s">
        <v>82</v>
      </c>
    </row>
    <row r="5" spans="1:14" ht="15" customHeight="1" x14ac:dyDescent="0.2">
      <c r="B5" s="5" t="s">
        <v>83</v>
      </c>
      <c r="C5" s="158" t="s">
        <v>223</v>
      </c>
      <c r="D5" s="159"/>
      <c r="E5" s="159"/>
      <c r="F5" s="7"/>
      <c r="H5" s="106" t="s">
        <v>80</v>
      </c>
      <c r="J5" s="106" t="s">
        <v>80</v>
      </c>
      <c r="N5" s="1">
        <f>IF(REN_Load_2012+REN_Load_2013&gt;0,AVERAGE(REN_Load_2012,REN_Load_2013),0)</f>
        <v>9461916.5</v>
      </c>
    </row>
    <row r="6" spans="1:14" ht="15" customHeight="1" x14ac:dyDescent="0.2">
      <c r="B6" s="5" t="s">
        <v>1</v>
      </c>
      <c r="C6" s="160" t="s">
        <v>224</v>
      </c>
      <c r="D6" s="159"/>
      <c r="E6" s="159"/>
      <c r="F6" s="7"/>
      <c r="G6" s="90" t="s">
        <v>66</v>
      </c>
      <c r="H6" s="91">
        <f>CON_Target_2012_2013</f>
        <v>210327.6</v>
      </c>
      <c r="I6" s="90" t="s">
        <v>66</v>
      </c>
      <c r="J6" s="92">
        <f>CON_Target_2014_2015</f>
        <v>207436.79999999999</v>
      </c>
    </row>
    <row r="7" spans="1:14" ht="15" customHeight="1" x14ac:dyDescent="0.2">
      <c r="B7" s="5" t="s">
        <v>2</v>
      </c>
      <c r="C7" s="161" t="s">
        <v>225</v>
      </c>
      <c r="D7" s="162"/>
      <c r="E7" s="162"/>
      <c r="F7" s="7"/>
      <c r="G7" s="90" t="s">
        <v>67</v>
      </c>
      <c r="H7" s="93">
        <f>CON_2012_MWH+CON_2013_MWH</f>
        <v>257268.41500000001</v>
      </c>
    </row>
    <row r="8" spans="1:14" ht="15" customHeight="1" thickBot="1" x14ac:dyDescent="0.25">
      <c r="B8" s="5"/>
      <c r="C8" s="89"/>
      <c r="D8" s="7"/>
      <c r="E8" s="7"/>
      <c r="F8" s="7"/>
      <c r="G8" s="90" t="s">
        <v>68</v>
      </c>
      <c r="H8" s="94">
        <f>H6-H7</f>
        <v>-46940.815000000002</v>
      </c>
    </row>
    <row r="9" spans="1:14" s="7" customFormat="1" ht="13.5" thickTop="1" x14ac:dyDescent="0.2">
      <c r="B9" s="166" t="s">
        <v>69</v>
      </c>
      <c r="C9" s="166"/>
      <c r="D9" s="166"/>
      <c r="E9" s="166"/>
      <c r="F9" s="167"/>
    </row>
    <row r="10" spans="1:14" s="7" customFormat="1" x14ac:dyDescent="0.2">
      <c r="B10" s="168" t="s">
        <v>36</v>
      </c>
      <c r="C10" s="152"/>
      <c r="D10" s="152" t="s">
        <v>72</v>
      </c>
      <c r="E10" s="152"/>
    </row>
    <row r="11" spans="1:14" ht="52.5" customHeight="1" x14ac:dyDescent="0.2">
      <c r="B11" s="95" t="s">
        <v>75</v>
      </c>
      <c r="C11" s="17" t="s">
        <v>51</v>
      </c>
      <c r="D11" s="17" t="s">
        <v>74</v>
      </c>
      <c r="E11" s="96" t="s">
        <v>73</v>
      </c>
    </row>
    <row r="12" spans="1:14" ht="15" customHeight="1" x14ac:dyDescent="0.2">
      <c r="B12" s="97">
        <v>1051375</v>
      </c>
      <c r="C12" s="98">
        <f>24.01*8760</f>
        <v>210327.6</v>
      </c>
      <c r="D12" s="98">
        <v>1037184</v>
      </c>
      <c r="E12" s="99">
        <f>23.68*8760</f>
        <v>207436.79999999999</v>
      </c>
    </row>
    <row r="13" spans="1:14" ht="15" customHeight="1" thickBot="1" x14ac:dyDescent="0.25">
      <c r="B13" s="7"/>
      <c r="C13" s="7"/>
      <c r="D13" s="7"/>
      <c r="E13" s="7"/>
      <c r="F13" s="7"/>
      <c r="G13" s="7"/>
      <c r="H13" s="7"/>
    </row>
    <row r="14" spans="1:14" ht="13.5" thickTop="1" x14ac:dyDescent="0.2">
      <c r="B14" s="150" t="s">
        <v>3</v>
      </c>
      <c r="C14" s="150"/>
      <c r="D14" s="150"/>
      <c r="E14" s="150"/>
      <c r="F14" s="150"/>
      <c r="G14" s="150"/>
      <c r="H14" s="150"/>
    </row>
    <row r="15" spans="1:14" ht="15" customHeight="1" x14ac:dyDescent="0.2">
      <c r="A15" s="7"/>
      <c r="B15" s="18"/>
      <c r="D15" s="152" t="s">
        <v>49</v>
      </c>
      <c r="E15" s="152"/>
      <c r="G15" s="152" t="s">
        <v>71</v>
      </c>
      <c r="H15" s="152"/>
    </row>
    <row r="16" spans="1:14" ht="30.75" customHeight="1" x14ac:dyDescent="0.2">
      <c r="A16" s="7"/>
      <c r="C16" s="19" t="s">
        <v>43</v>
      </c>
      <c r="D16" s="17" t="s">
        <v>7</v>
      </c>
      <c r="E16" s="17" t="s">
        <v>8</v>
      </c>
      <c r="G16" s="17" t="s">
        <v>7</v>
      </c>
      <c r="H16" s="17" t="s">
        <v>8</v>
      </c>
    </row>
    <row r="17" spans="1:8" ht="15" customHeight="1" x14ac:dyDescent="0.2">
      <c r="A17" s="7"/>
      <c r="C17" s="35" t="s">
        <v>9</v>
      </c>
      <c r="D17" s="100">
        <v>53201.47</v>
      </c>
      <c r="E17" s="146">
        <v>12125140</v>
      </c>
      <c r="G17" s="100">
        <v>35952.050000000003</v>
      </c>
      <c r="H17" s="111">
        <v>16781253</v>
      </c>
    </row>
    <row r="18" spans="1:8" ht="15" customHeight="1" x14ac:dyDescent="0.2">
      <c r="A18" s="7"/>
      <c r="C18" s="35" t="s">
        <v>10</v>
      </c>
      <c r="D18" s="100">
        <v>43678.944000000003</v>
      </c>
      <c r="E18" s="146">
        <v>14456681</v>
      </c>
      <c r="G18" s="100">
        <v>38759.260999999999</v>
      </c>
      <c r="H18" s="111">
        <v>16673431</v>
      </c>
    </row>
    <row r="19" spans="1:8" ht="15" customHeight="1" x14ac:dyDescent="0.2">
      <c r="A19" s="7"/>
      <c r="C19" s="35" t="s">
        <v>11</v>
      </c>
      <c r="D19" s="100">
        <v>11279.567999999999</v>
      </c>
      <c r="E19" s="146">
        <v>1604868</v>
      </c>
      <c r="G19" s="100">
        <v>10246.674000000001</v>
      </c>
      <c r="H19" s="111">
        <v>4010093</v>
      </c>
    </row>
    <row r="20" spans="1:8" ht="15" customHeight="1" x14ac:dyDescent="0.2">
      <c r="A20" s="7"/>
      <c r="C20" s="35" t="s">
        <v>12</v>
      </c>
      <c r="D20" s="100"/>
      <c r="E20" s="146"/>
      <c r="G20" s="100"/>
      <c r="H20" s="111"/>
    </row>
    <row r="21" spans="1:8" ht="15" customHeight="1" x14ac:dyDescent="0.2">
      <c r="A21" s="7"/>
      <c r="C21" s="35" t="s">
        <v>38</v>
      </c>
      <c r="D21" s="100"/>
      <c r="E21" s="146"/>
      <c r="G21" s="100"/>
      <c r="H21" s="111"/>
    </row>
    <row r="22" spans="1:8" ht="15" customHeight="1" x14ac:dyDescent="0.2">
      <c r="A22" s="7"/>
      <c r="C22" s="36" t="s">
        <v>39</v>
      </c>
      <c r="D22" s="100"/>
      <c r="E22" s="146"/>
      <c r="G22" s="100"/>
      <c r="H22" s="111"/>
    </row>
    <row r="23" spans="1:8" ht="15" customHeight="1" x14ac:dyDescent="0.2">
      <c r="A23" s="7"/>
      <c r="C23" s="36" t="s">
        <v>5</v>
      </c>
      <c r="D23" s="101">
        <v>29214.008999999998</v>
      </c>
      <c r="E23" s="146">
        <v>1631620</v>
      </c>
      <c r="G23" s="101">
        <v>34936.438999999998</v>
      </c>
      <c r="H23" s="111">
        <v>1631620</v>
      </c>
    </row>
    <row r="24" spans="1:8" ht="15" customHeight="1" x14ac:dyDescent="0.2">
      <c r="A24" s="7"/>
      <c r="C24" s="102"/>
      <c r="D24" s="101"/>
      <c r="E24" s="111"/>
      <c r="G24" s="101"/>
      <c r="H24" s="111"/>
    </row>
    <row r="25" spans="1:8" ht="15" customHeight="1" x14ac:dyDescent="0.2">
      <c r="A25" s="7"/>
      <c r="C25" s="102"/>
      <c r="D25" s="101"/>
      <c r="E25" s="111"/>
      <c r="G25" s="101"/>
      <c r="H25" s="111"/>
    </row>
    <row r="26" spans="1:8" ht="30.75" customHeight="1" x14ac:dyDescent="0.2">
      <c r="A26" s="7"/>
      <c r="B26" s="153" t="s">
        <v>70</v>
      </c>
      <c r="C26" s="154"/>
      <c r="E26" s="112"/>
      <c r="G26" s="147" t="s">
        <v>221</v>
      </c>
      <c r="H26" s="148" t="s">
        <v>222</v>
      </c>
    </row>
    <row r="27" spans="1:8" ht="15" customHeight="1" x14ac:dyDescent="0.2">
      <c r="A27" s="7"/>
      <c r="C27" s="103"/>
      <c r="D27" s="109"/>
      <c r="E27" s="111"/>
      <c r="G27" s="109"/>
      <c r="H27" s="111"/>
    </row>
    <row r="28" spans="1:8" ht="15" customHeight="1" x14ac:dyDescent="0.2">
      <c r="A28" s="7"/>
      <c r="C28" s="103"/>
      <c r="D28" s="110"/>
      <c r="E28" s="111"/>
      <c r="G28" s="110"/>
      <c r="H28" s="111"/>
    </row>
    <row r="29" spans="1:8" ht="15" customHeight="1" x14ac:dyDescent="0.2">
      <c r="C29" s="37" t="s">
        <v>6</v>
      </c>
      <c r="D29" s="34">
        <f>SUM(D17:D25)</f>
        <v>137373.99100000001</v>
      </c>
      <c r="E29" s="113">
        <f>SUM(E17:E28)</f>
        <v>29818309</v>
      </c>
      <c r="G29" s="34">
        <f>SUM(G17:G25)</f>
        <v>119894.424</v>
      </c>
      <c r="H29" s="113">
        <f>SUM(H17:H28)</f>
        <v>39096397</v>
      </c>
    </row>
    <row r="30" spans="1:8" ht="15" customHeight="1" x14ac:dyDescent="0.2">
      <c r="B30" s="20"/>
      <c r="C30" s="21"/>
      <c r="D30" s="22"/>
      <c r="E30" s="21"/>
      <c r="F30" s="22"/>
    </row>
    <row r="31" spans="1:8" s="7" customFormat="1" ht="15" customHeight="1" x14ac:dyDescent="0.2">
      <c r="B31" s="3" t="s">
        <v>4</v>
      </c>
      <c r="C31" s="163" t="str">
        <f>CON_Utility_Name</f>
        <v>Seattle City Light</v>
      </c>
      <c r="D31" s="163"/>
      <c r="E31" s="163"/>
      <c r="F31" s="163"/>
    </row>
    <row r="32" spans="1:8" s="7" customFormat="1" ht="21" customHeight="1" x14ac:dyDescent="0.2">
      <c r="B32" s="3"/>
      <c r="C32" s="6"/>
      <c r="D32" s="6"/>
      <c r="E32" s="6"/>
      <c r="F32" s="6"/>
    </row>
    <row r="33" spans="2:14" s="23" customFormat="1" x14ac:dyDescent="0.25">
      <c r="B33" s="164" t="s">
        <v>76</v>
      </c>
      <c r="C33" s="165"/>
      <c r="D33" s="165"/>
      <c r="E33" s="165"/>
      <c r="F33" s="165"/>
    </row>
    <row r="34" spans="2:14" ht="15" customHeight="1" x14ac:dyDescent="0.2"/>
    <row r="35" spans="2:14" ht="15" customHeight="1" x14ac:dyDescent="0.2"/>
    <row r="36" spans="2:14" ht="15" customHeight="1" x14ac:dyDescent="0.2"/>
    <row r="37" spans="2:14" ht="15" customHeight="1" x14ac:dyDescent="0.2"/>
    <row r="38" spans="2:14" ht="15" customHeight="1" x14ac:dyDescent="0.2"/>
    <row r="39" spans="2:14" ht="15" customHeight="1" x14ac:dyDescent="0.2"/>
    <row r="40" spans="2:14" ht="15" customHeight="1" x14ac:dyDescent="0.2"/>
    <row r="41" spans="2:14" ht="15" customHeight="1" x14ac:dyDescent="0.2"/>
    <row r="42" spans="2:14" ht="15" customHeight="1" x14ac:dyDescent="0.2"/>
    <row r="43" spans="2:14" ht="15" customHeight="1" x14ac:dyDescent="0.2"/>
    <row r="44" spans="2:14" ht="15" customHeight="1" x14ac:dyDescent="0.2">
      <c r="N44" s="149"/>
    </row>
    <row r="45" spans="2:14" ht="15" customHeight="1" x14ac:dyDescent="0.2"/>
    <row r="46" spans="2:14" x14ac:dyDescent="0.2">
      <c r="B46" s="11" t="s">
        <v>37</v>
      </c>
    </row>
  </sheetData>
  <mergeCells count="16">
    <mergeCell ref="C31:F31"/>
    <mergeCell ref="B33:F33"/>
    <mergeCell ref="B9:F9"/>
    <mergeCell ref="B10:C10"/>
    <mergeCell ref="D10:E10"/>
    <mergeCell ref="G14:H14"/>
    <mergeCell ref="G3:J3"/>
    <mergeCell ref="G15:H15"/>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2:O51"/>
  <sheetViews>
    <sheetView workbookViewId="0">
      <selection activeCell="F4" sqref="F4"/>
    </sheetView>
  </sheetViews>
  <sheetFormatPr defaultRowHeight="15" x14ac:dyDescent="0.25"/>
  <cols>
    <col min="3" max="3" width="12.7109375" bestFit="1" customWidth="1"/>
    <col min="4" max="4" width="19.140625" bestFit="1" customWidth="1"/>
    <col min="6" max="6" width="10.42578125" customWidth="1"/>
    <col min="7" max="7" width="11.5703125" bestFit="1" customWidth="1"/>
    <col min="8" max="8" width="11.85546875" bestFit="1" customWidth="1"/>
    <col min="14" max="14" width="12.7109375" bestFit="1" customWidth="1"/>
  </cols>
  <sheetData>
    <row r="2" spans="2:8" ht="15.75" thickBot="1" x14ac:dyDescent="0.3"/>
    <row r="3" spans="2:8" x14ac:dyDescent="0.25">
      <c r="B3" s="201"/>
      <c r="C3" s="202"/>
      <c r="D3" s="203" t="s">
        <v>242</v>
      </c>
    </row>
    <row r="4" spans="2:8" x14ac:dyDescent="0.25">
      <c r="B4" s="204" t="s">
        <v>243</v>
      </c>
      <c r="C4" s="205">
        <v>753904086</v>
      </c>
      <c r="D4" s="206" t="s">
        <v>244</v>
      </c>
    </row>
    <row r="5" spans="2:8" x14ac:dyDescent="0.25">
      <c r="B5" s="204"/>
      <c r="C5" s="207"/>
      <c r="D5" s="208"/>
    </row>
    <row r="6" spans="2:8" x14ac:dyDescent="0.25">
      <c r="B6" s="204" t="s">
        <v>245</v>
      </c>
      <c r="C6" s="209">
        <f>H28</f>
        <v>5687807.7270314191</v>
      </c>
      <c r="D6" s="208"/>
    </row>
    <row r="7" spans="2:8" ht="15.75" thickBot="1" x14ac:dyDescent="0.3">
      <c r="B7" s="210" t="s">
        <v>246</v>
      </c>
      <c r="C7" s="211">
        <f>C6/C4</f>
        <v>7.5444712830902722E-3</v>
      </c>
      <c r="D7" s="212"/>
    </row>
    <row r="8" spans="2:8" x14ac:dyDescent="0.25">
      <c r="C8" s="142"/>
    </row>
    <row r="9" spans="2:8" x14ac:dyDescent="0.25">
      <c r="B9" s="207" t="s">
        <v>247</v>
      </c>
      <c r="C9" s="213" t="s">
        <v>248</v>
      </c>
      <c r="D9" s="214" t="s">
        <v>249</v>
      </c>
      <c r="E9" s="215" t="s">
        <v>250</v>
      </c>
      <c r="F9" s="215" t="s">
        <v>251</v>
      </c>
      <c r="G9" s="215" t="s">
        <v>252</v>
      </c>
      <c r="H9" s="215" t="s">
        <v>253</v>
      </c>
    </row>
    <row r="10" spans="2:8" x14ac:dyDescent="0.25">
      <c r="B10" s="207"/>
      <c r="C10" s="213" t="s">
        <v>254</v>
      </c>
      <c r="D10" s="215" t="s">
        <v>255</v>
      </c>
      <c r="E10" s="215"/>
      <c r="F10" s="215"/>
      <c r="G10" s="215"/>
      <c r="H10" s="215" t="s">
        <v>256</v>
      </c>
    </row>
    <row r="11" spans="2:8" x14ac:dyDescent="0.25">
      <c r="B11" s="207"/>
      <c r="C11" s="213" t="s">
        <v>257</v>
      </c>
      <c r="D11" s="215" t="s">
        <v>258</v>
      </c>
      <c r="E11" s="215" t="s">
        <v>259</v>
      </c>
      <c r="F11" s="215" t="s">
        <v>260</v>
      </c>
      <c r="G11" s="215" t="s">
        <v>261</v>
      </c>
      <c r="H11" s="215" t="s">
        <v>262</v>
      </c>
    </row>
    <row r="13" spans="2:8" x14ac:dyDescent="0.25">
      <c r="C13" s="216"/>
      <c r="D13" s="216"/>
    </row>
    <row r="14" spans="2:8" x14ac:dyDescent="0.25">
      <c r="B14" t="s">
        <v>263</v>
      </c>
      <c r="C14" s="217">
        <v>429240</v>
      </c>
      <c r="D14" s="218">
        <f>'[2]Renewables Report'!F44</f>
        <v>221263</v>
      </c>
      <c r="E14" s="219">
        <f>SUM('[2]Renewables Report'!F72:F75)</f>
        <v>26000</v>
      </c>
      <c r="F14" s="219">
        <f>'[2]Renewables Report'!E45</f>
        <v>1595</v>
      </c>
      <c r="G14" s="219">
        <f>'[2]Renewables Report'!K46+'[2]Renewables Report'!O76</f>
        <v>35000</v>
      </c>
      <c r="H14" s="220">
        <f>SUM(D14:G14)</f>
        <v>283858</v>
      </c>
    </row>
    <row r="15" spans="2:8" x14ac:dyDescent="0.25">
      <c r="B15" t="s">
        <v>264</v>
      </c>
      <c r="C15" s="216">
        <v>37.96</v>
      </c>
      <c r="D15" s="216">
        <f>C15</f>
        <v>37.96</v>
      </c>
      <c r="E15" s="216"/>
      <c r="F15" s="216"/>
      <c r="G15" s="216">
        <v>90.51</v>
      </c>
      <c r="H15" s="216"/>
    </row>
    <row r="16" spans="2:8" x14ac:dyDescent="0.25">
      <c r="B16" t="s">
        <v>265</v>
      </c>
      <c r="C16" s="216">
        <v>14.28</v>
      </c>
      <c r="D16" s="216">
        <f>C16</f>
        <v>14.28</v>
      </c>
      <c r="E16" s="216"/>
      <c r="F16" s="216"/>
      <c r="G16" s="216"/>
      <c r="H16" s="216"/>
    </row>
    <row r="17" spans="2:9" x14ac:dyDescent="0.25">
      <c r="B17" s="207"/>
      <c r="C17" s="207"/>
      <c r="H17" s="216"/>
    </row>
    <row r="18" spans="2:9" x14ac:dyDescent="0.25">
      <c r="B18" s="207" t="s">
        <v>266</v>
      </c>
      <c r="C18" s="209">
        <f>C15*C14</f>
        <v>16293950.4</v>
      </c>
      <c r="D18" s="221">
        <f>D15*D14</f>
        <v>8399143.4800000004</v>
      </c>
      <c r="E18" s="221"/>
      <c r="F18" s="221"/>
      <c r="G18" s="221">
        <f>G15*G14</f>
        <v>3167850</v>
      </c>
      <c r="H18" s="221">
        <f>SUM(D18:G18)</f>
        <v>11566993.48</v>
      </c>
    </row>
    <row r="19" spans="2:9" ht="15.75" thickBot="1" x14ac:dyDescent="0.3">
      <c r="B19" s="207" t="s">
        <v>267</v>
      </c>
      <c r="C19" s="222">
        <f>C16*C14</f>
        <v>6129547.2000000002</v>
      </c>
      <c r="D19" s="222">
        <f>D16*D14</f>
        <v>3159635.6399999997</v>
      </c>
      <c r="E19" s="222"/>
      <c r="F19" s="222"/>
      <c r="G19" s="222">
        <f>G16*G14</f>
        <v>0</v>
      </c>
      <c r="H19" s="222">
        <f>SUM(D19:G19)</f>
        <v>3159635.6399999997</v>
      </c>
    </row>
    <row r="20" spans="2:9" ht="15.75" thickTop="1" x14ac:dyDescent="0.25">
      <c r="B20" s="207" t="s">
        <v>268</v>
      </c>
      <c r="C20" s="221">
        <f>C19+C18</f>
        <v>22423497.600000001</v>
      </c>
      <c r="D20" s="221">
        <f>D19+D18</f>
        <v>11558779.120000001</v>
      </c>
      <c r="E20" s="221">
        <f>E19+E18</f>
        <v>0</v>
      </c>
      <c r="F20" s="221"/>
      <c r="G20" s="221">
        <f>G19+G18</f>
        <v>3167850</v>
      </c>
      <c r="H20" s="221">
        <f>SUM(D20:G20)</f>
        <v>14726629.120000001</v>
      </c>
    </row>
    <row r="21" spans="2:9" x14ac:dyDescent="0.25">
      <c r="B21" s="207"/>
      <c r="C21" s="207"/>
      <c r="H21" s="223"/>
    </row>
    <row r="22" spans="2:9" x14ac:dyDescent="0.25">
      <c r="B22" t="s">
        <v>269</v>
      </c>
      <c r="H22" s="223">
        <f>N51</f>
        <v>31.842757269369127</v>
      </c>
      <c r="I22" s="223"/>
    </row>
    <row r="23" spans="2:9" x14ac:dyDescent="0.25">
      <c r="I23" s="223"/>
    </row>
    <row r="24" spans="2:9" x14ac:dyDescent="0.25">
      <c r="B24" t="s">
        <v>270</v>
      </c>
      <c r="H24" s="224">
        <f>H22*H14</f>
        <v>9038821.392968582</v>
      </c>
    </row>
    <row r="25" spans="2:9" ht="15.75" thickBot="1" x14ac:dyDescent="0.3">
      <c r="B25" t="s">
        <v>271</v>
      </c>
      <c r="H25" s="225"/>
    </row>
    <row r="26" spans="2:9" ht="15.75" thickTop="1" x14ac:dyDescent="0.25">
      <c r="B26" t="s">
        <v>272</v>
      </c>
      <c r="H26" s="224">
        <f>H25+H24</f>
        <v>9038821.392968582</v>
      </c>
    </row>
    <row r="28" spans="2:9" x14ac:dyDescent="0.25">
      <c r="B28" s="226" t="s">
        <v>273</v>
      </c>
      <c r="H28" s="227">
        <f>H20-H26</f>
        <v>5687807.7270314191</v>
      </c>
    </row>
    <row r="29" spans="2:9" x14ac:dyDescent="0.25">
      <c r="B29" t="s">
        <v>274</v>
      </c>
      <c r="H29" s="216">
        <f>H28/H14</f>
        <v>20.037510751965485</v>
      </c>
    </row>
    <row r="31" spans="2:9" x14ac:dyDescent="0.25">
      <c r="B31" t="s">
        <v>275</v>
      </c>
    </row>
    <row r="32" spans="2:9" x14ac:dyDescent="0.25">
      <c r="B32" s="228" t="s">
        <v>276</v>
      </c>
    </row>
    <row r="33" spans="2:15" x14ac:dyDescent="0.25">
      <c r="B33" t="s">
        <v>277</v>
      </c>
      <c r="K33" s="229"/>
      <c r="L33" s="229"/>
      <c r="M33" s="229"/>
      <c r="N33" s="230">
        <v>41408</v>
      </c>
      <c r="O33" s="229"/>
    </row>
    <row r="34" spans="2:15" x14ac:dyDescent="0.25">
      <c r="B34" t="s">
        <v>278</v>
      </c>
      <c r="K34" s="229" t="s">
        <v>279</v>
      </c>
      <c r="L34" s="229"/>
      <c r="M34" s="229"/>
      <c r="N34" s="231" t="s">
        <v>280</v>
      </c>
      <c r="O34" s="232"/>
    </row>
    <row r="35" spans="2:15" x14ac:dyDescent="0.25">
      <c r="B35" t="s">
        <v>281</v>
      </c>
      <c r="K35" s="229" t="s">
        <v>282</v>
      </c>
      <c r="L35" s="229"/>
      <c r="M35" s="229"/>
      <c r="N35" s="233" t="s">
        <v>283</v>
      </c>
      <c r="O35" s="234" t="s">
        <v>284</v>
      </c>
    </row>
    <row r="36" spans="2:15" x14ac:dyDescent="0.25">
      <c r="B36" t="s">
        <v>285</v>
      </c>
      <c r="K36" s="229"/>
      <c r="L36" s="215" t="s">
        <v>284</v>
      </c>
      <c r="M36" s="215" t="s">
        <v>283</v>
      </c>
      <c r="N36" s="229"/>
      <c r="O36" s="229"/>
    </row>
    <row r="37" spans="2:15" x14ac:dyDescent="0.25">
      <c r="B37" t="s">
        <v>286</v>
      </c>
      <c r="K37" s="229" t="s">
        <v>287</v>
      </c>
      <c r="L37" s="235">
        <v>16422.446241756646</v>
      </c>
      <c r="M37" s="235">
        <v>18271.073040941941</v>
      </c>
      <c r="N37" s="236">
        <v>40.450000000000003</v>
      </c>
      <c r="O37" s="236">
        <v>36.65</v>
      </c>
    </row>
    <row r="38" spans="2:15" x14ac:dyDescent="0.25">
      <c r="B38" t="s">
        <v>288</v>
      </c>
      <c r="K38" s="229" t="s">
        <v>289</v>
      </c>
      <c r="L38" s="235">
        <v>10296.792891168148</v>
      </c>
      <c r="M38" s="235">
        <v>11226.798005456363</v>
      </c>
      <c r="N38" s="236">
        <v>37.81</v>
      </c>
      <c r="O38" s="236">
        <v>33.22</v>
      </c>
    </row>
    <row r="39" spans="2:15" x14ac:dyDescent="0.25">
      <c r="B39" t="s">
        <v>290</v>
      </c>
      <c r="K39" s="229" t="s">
        <v>291</v>
      </c>
      <c r="L39" s="235">
        <v>19358.586378652173</v>
      </c>
      <c r="M39" s="235">
        <v>24289.607954252329</v>
      </c>
      <c r="N39" s="236">
        <v>35.36</v>
      </c>
      <c r="O39" s="236">
        <v>28.53</v>
      </c>
    </row>
    <row r="40" spans="2:15" x14ac:dyDescent="0.25">
      <c r="B40" t="s">
        <v>292</v>
      </c>
      <c r="K40" s="229" t="s">
        <v>293</v>
      </c>
      <c r="L40" s="235">
        <v>15553.424275277095</v>
      </c>
      <c r="M40" s="235">
        <v>16199.678362767712</v>
      </c>
      <c r="N40" s="236">
        <v>29.94</v>
      </c>
      <c r="O40" s="236">
        <v>15.52</v>
      </c>
    </row>
    <row r="41" spans="2:15" x14ac:dyDescent="0.25">
      <c r="B41" t="s">
        <v>294</v>
      </c>
      <c r="K41" s="229" t="s">
        <v>295</v>
      </c>
      <c r="L41" s="235">
        <v>18371.725231417557</v>
      </c>
      <c r="M41" s="235">
        <v>15149.789070210176</v>
      </c>
      <c r="N41" s="236">
        <v>27.9</v>
      </c>
      <c r="O41" s="236">
        <v>13.49</v>
      </c>
    </row>
    <row r="42" spans="2:15" x14ac:dyDescent="0.25">
      <c r="B42" t="s">
        <v>296</v>
      </c>
      <c r="K42" s="229" t="s">
        <v>297</v>
      </c>
      <c r="L42" s="235">
        <v>19196.558057330643</v>
      </c>
      <c r="M42" s="235">
        <v>16562.44505318462</v>
      </c>
      <c r="N42" s="236">
        <v>26.24</v>
      </c>
      <c r="O42" s="236">
        <v>11.71</v>
      </c>
    </row>
    <row r="43" spans="2:15" x14ac:dyDescent="0.25">
      <c r="B43" t="s">
        <v>298</v>
      </c>
      <c r="K43" s="229" t="s">
        <v>299</v>
      </c>
      <c r="L43" s="235">
        <v>18455.227018123755</v>
      </c>
      <c r="M43" s="235">
        <v>14655.17817724917</v>
      </c>
      <c r="N43" s="236">
        <v>39.97</v>
      </c>
      <c r="O43" s="236">
        <v>24.89</v>
      </c>
    </row>
    <row r="44" spans="2:15" x14ac:dyDescent="0.25">
      <c r="B44" s="228" t="s">
        <v>300</v>
      </c>
      <c r="K44" s="229" t="s">
        <v>301</v>
      </c>
      <c r="L44" s="235">
        <v>17023.739174577837</v>
      </c>
      <c r="M44" s="235">
        <v>14152.218555767997</v>
      </c>
      <c r="N44" s="236">
        <v>44.24</v>
      </c>
      <c r="O44" s="236">
        <v>31.17</v>
      </c>
    </row>
    <row r="45" spans="2:15" x14ac:dyDescent="0.25">
      <c r="B45" t="s">
        <v>302</v>
      </c>
      <c r="K45" s="229" t="s">
        <v>303</v>
      </c>
      <c r="L45" s="235">
        <v>15660.533837301866</v>
      </c>
      <c r="M45" s="235">
        <v>16359.216347608706</v>
      </c>
      <c r="N45" s="236">
        <v>41.49</v>
      </c>
      <c r="O45" s="236">
        <v>32.44</v>
      </c>
    </row>
    <row r="46" spans="2:15" x14ac:dyDescent="0.25">
      <c r="B46" t="s">
        <v>304</v>
      </c>
      <c r="K46" s="229" t="s">
        <v>305</v>
      </c>
      <c r="L46" s="235">
        <v>14714.291079204701</v>
      </c>
      <c r="M46" s="235">
        <v>14651.279931554931</v>
      </c>
      <c r="N46" s="236">
        <v>38.130000000000003</v>
      </c>
      <c r="O46" s="236">
        <v>32.9</v>
      </c>
    </row>
    <row r="47" spans="2:15" x14ac:dyDescent="0.25">
      <c r="B47" t="s">
        <v>306</v>
      </c>
      <c r="K47" s="229" t="s">
        <v>307</v>
      </c>
      <c r="L47" s="235">
        <v>15611.912068433876</v>
      </c>
      <c r="M47" s="235">
        <v>17535.523774903679</v>
      </c>
      <c r="N47" s="236">
        <v>40.33</v>
      </c>
      <c r="O47" s="236">
        <v>34.700000000000003</v>
      </c>
    </row>
    <row r="48" spans="2:15" x14ac:dyDescent="0.25">
      <c r="B48" t="s">
        <v>308</v>
      </c>
      <c r="K48" s="229" t="s">
        <v>309</v>
      </c>
      <c r="L48" s="235">
        <v>11404.554140591379</v>
      </c>
      <c r="M48" s="235">
        <v>12428.494984949217</v>
      </c>
      <c r="N48" s="236">
        <v>43.04</v>
      </c>
      <c r="O48" s="236">
        <v>37.1</v>
      </c>
    </row>
    <row r="49" spans="11:15" x14ac:dyDescent="0.25">
      <c r="K49" s="229"/>
      <c r="L49" s="235"/>
      <c r="M49" s="235"/>
      <c r="N49" s="229"/>
      <c r="O49" s="229"/>
    </row>
    <row r="50" spans="11:15" x14ac:dyDescent="0.25">
      <c r="K50" s="229" t="s">
        <v>310</v>
      </c>
      <c r="L50" s="235"/>
      <c r="M50" s="235">
        <v>383551.09365268255</v>
      </c>
      <c r="O50" s="229"/>
    </row>
    <row r="51" spans="11:15" x14ac:dyDescent="0.25">
      <c r="K51" s="229" t="s">
        <v>311</v>
      </c>
      <c r="N51" s="237">
        <f>(SUMPRODUCT(M37:M48,N37:N48)+SUMPRODUCT(L37:L48,O37:O48))/M50</f>
        <v>31.842757269369127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election activeCell="N12" sqref="N12"/>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2.140625" style="1" bestFit="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4" t="s">
        <v>60</v>
      </c>
      <c r="C1" s="74"/>
      <c r="D1" s="74"/>
      <c r="AC1" s="69" t="s">
        <v>52</v>
      </c>
      <c r="AH1" s="66"/>
    </row>
    <row r="2" spans="2:34" ht="14.25" x14ac:dyDescent="0.2">
      <c r="B2" s="28"/>
      <c r="C2" s="28"/>
      <c r="D2" s="28"/>
      <c r="I2" s="180" t="s">
        <v>48</v>
      </c>
      <c r="J2" s="181"/>
      <c r="K2" s="181"/>
      <c r="L2" s="181"/>
      <c r="M2" s="181"/>
      <c r="N2" s="182"/>
      <c r="AC2" s="70" t="s">
        <v>53</v>
      </c>
      <c r="AH2" s="64"/>
    </row>
    <row r="3" spans="2:34" ht="15" customHeight="1" x14ac:dyDescent="0.2">
      <c r="B3" s="3" t="s">
        <v>4</v>
      </c>
      <c r="C3" s="186" t="s">
        <v>220</v>
      </c>
      <c r="D3" s="186"/>
      <c r="E3" s="186"/>
      <c r="I3" s="83"/>
      <c r="J3" s="7"/>
      <c r="K3" s="7"/>
      <c r="L3" s="7"/>
      <c r="M3" s="82" t="s">
        <v>44</v>
      </c>
      <c r="N3" s="191">
        <v>9466642</v>
      </c>
      <c r="AC3" s="70" t="s">
        <v>54</v>
      </c>
      <c r="AH3" s="64"/>
    </row>
    <row r="4" spans="2:34" ht="15" customHeight="1" thickBot="1" x14ac:dyDescent="0.25">
      <c r="B4" s="4" t="s">
        <v>84</v>
      </c>
      <c r="C4" s="188">
        <v>41780</v>
      </c>
      <c r="D4" s="188"/>
      <c r="E4" s="188"/>
      <c r="I4" s="83"/>
      <c r="J4" s="7"/>
      <c r="K4" s="7"/>
      <c r="L4" s="7"/>
      <c r="M4" s="82" t="s">
        <v>57</v>
      </c>
      <c r="N4" s="192">
        <v>9457191</v>
      </c>
      <c r="AC4" s="70" t="s">
        <v>55</v>
      </c>
      <c r="AH4" s="65"/>
    </row>
    <row r="5" spans="2:34" ht="15" customHeight="1" x14ac:dyDescent="0.2">
      <c r="B5" s="5" t="s">
        <v>0</v>
      </c>
      <c r="C5" s="189" t="s">
        <v>226</v>
      </c>
      <c r="D5" s="189"/>
      <c r="E5" s="189"/>
      <c r="I5" s="83"/>
      <c r="J5" s="7"/>
      <c r="K5" s="7"/>
      <c r="L5" s="7"/>
      <c r="M5" s="82" t="s">
        <v>58</v>
      </c>
      <c r="N5" s="144">
        <f>IF(REN_Load_2012+REN_Load_2013&gt;0,AVERAGE(REN_Load_2012,REN_Load_2013),0)</f>
        <v>9461916.5</v>
      </c>
    </row>
    <row r="6" spans="2:34" ht="15" customHeight="1" x14ac:dyDescent="0.2">
      <c r="B6" s="5" t="s">
        <v>1</v>
      </c>
      <c r="C6" s="189" t="s">
        <v>227</v>
      </c>
      <c r="D6" s="189"/>
      <c r="E6" s="189"/>
      <c r="I6" s="83"/>
      <c r="J6" s="7"/>
      <c r="K6" s="7"/>
      <c r="L6" s="7"/>
      <c r="M6" s="82" t="s">
        <v>59</v>
      </c>
      <c r="N6" s="84">
        <v>0.03</v>
      </c>
    </row>
    <row r="7" spans="2:34" ht="15" customHeight="1" x14ac:dyDescent="0.2">
      <c r="B7" s="5" t="s">
        <v>2</v>
      </c>
      <c r="C7" s="187" t="s">
        <v>228</v>
      </c>
      <c r="D7" s="190"/>
      <c r="E7" s="190"/>
      <c r="I7" s="105"/>
      <c r="J7" s="7"/>
      <c r="K7" s="7"/>
      <c r="L7" s="7"/>
      <c r="M7" s="82" t="s">
        <v>65</v>
      </c>
      <c r="N7" s="144">
        <f>N5*N6</f>
        <v>283857.495</v>
      </c>
    </row>
    <row r="8" spans="2:34" ht="15" customHeight="1" x14ac:dyDescent="0.2">
      <c r="B8" s="5"/>
      <c r="C8" s="5"/>
      <c r="D8" s="5"/>
      <c r="E8" s="63"/>
      <c r="I8" s="85"/>
      <c r="J8" s="86"/>
      <c r="K8" s="86"/>
      <c r="L8" s="86"/>
      <c r="M8" s="87" t="s">
        <v>56</v>
      </c>
      <c r="N8" s="145">
        <f>SUM(C20:M20)</f>
        <v>283858</v>
      </c>
    </row>
    <row r="9" spans="2:34" ht="15" customHeight="1" x14ac:dyDescent="0.2">
      <c r="B9" s="3" t="s">
        <v>61</v>
      </c>
      <c r="C9" s="75"/>
      <c r="D9" s="75"/>
    </row>
    <row r="10" spans="2:34" ht="15" customHeight="1" x14ac:dyDescent="0.2">
      <c r="C10" s="28"/>
      <c r="D10" s="28"/>
      <c r="G10" s="183" t="s">
        <v>168</v>
      </c>
      <c r="H10" s="184"/>
      <c r="I10" s="184"/>
      <c r="J10" s="184"/>
      <c r="K10" s="184"/>
      <c r="L10" s="184"/>
      <c r="M10" s="184"/>
      <c r="N10" s="185"/>
    </row>
    <row r="11" spans="2:34" s="67" customFormat="1" ht="14.25" customHeight="1" x14ac:dyDescent="0.25">
      <c r="B11" s="1"/>
      <c r="C11" s="68"/>
      <c r="D11" s="68"/>
      <c r="G11" s="83" t="s">
        <v>167</v>
      </c>
      <c r="H11" s="116"/>
      <c r="I11" s="116"/>
      <c r="J11" s="116"/>
      <c r="K11" s="116"/>
      <c r="L11" s="116"/>
      <c r="M11" s="7"/>
      <c r="N11" s="118">
        <f>'calcs for incremental cost'!H28</f>
        <v>5687807.7270314191</v>
      </c>
    </row>
    <row r="12" spans="2:34" x14ac:dyDescent="0.2">
      <c r="C12" s="28"/>
      <c r="D12" s="28"/>
      <c r="G12" s="83" t="s">
        <v>175</v>
      </c>
      <c r="H12" s="114"/>
      <c r="I12" s="114"/>
      <c r="J12" s="114"/>
      <c r="K12" s="114"/>
      <c r="L12" s="7"/>
      <c r="M12" s="7"/>
      <c r="N12" s="193">
        <v>753904086</v>
      </c>
    </row>
    <row r="13" spans="2:34" x14ac:dyDescent="0.2">
      <c r="G13" s="117" t="s">
        <v>169</v>
      </c>
      <c r="H13" s="115"/>
      <c r="I13" s="115"/>
      <c r="J13" s="115"/>
      <c r="K13" s="115"/>
      <c r="L13" s="86"/>
      <c r="M13" s="86"/>
      <c r="N13" s="119">
        <f>IF(REN_RetailRevenueRequirement_2014&gt;0,REN_Expenditure_Amount_2014/REN_RetailRevenueRequirement_2014,"")</f>
        <v>7.5444712830902722E-3</v>
      </c>
    </row>
    <row r="14" spans="2:34" ht="17.45" customHeight="1" x14ac:dyDescent="0.2">
      <c r="I14" s="169"/>
      <c r="J14" s="169"/>
      <c r="K14" s="169"/>
      <c r="L14" s="169"/>
      <c r="M14" s="169"/>
      <c r="N14" s="60"/>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0"/>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60"/>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0"/>
      <c r="O17" s="24"/>
      <c r="P17" s="24"/>
    </row>
    <row r="18" spans="2:34" ht="15" customHeight="1" x14ac:dyDescent="0.2">
      <c r="B18" s="4" t="s">
        <v>45</v>
      </c>
      <c r="C18" s="12">
        <f t="shared" ref="C18:L18" si="0">SUM(E44:E64)</f>
        <v>1595</v>
      </c>
      <c r="D18" s="12">
        <f t="shared" si="0"/>
        <v>221263</v>
      </c>
      <c r="E18" s="12">
        <f t="shared" si="0"/>
        <v>0</v>
      </c>
      <c r="F18" s="12">
        <f t="shared" si="0"/>
        <v>0</v>
      </c>
      <c r="G18" s="12">
        <f t="shared" si="0"/>
        <v>0</v>
      </c>
      <c r="H18" s="12">
        <f t="shared" si="0"/>
        <v>0</v>
      </c>
      <c r="I18" s="12">
        <f t="shared" si="0"/>
        <v>17500</v>
      </c>
      <c r="J18" s="12">
        <f t="shared" si="0"/>
        <v>0</v>
      </c>
      <c r="K18" s="12">
        <f t="shared" si="0"/>
        <v>0</v>
      </c>
      <c r="L18" s="12">
        <f t="shared" si="0"/>
        <v>0</v>
      </c>
      <c r="M18" s="104"/>
      <c r="N18" s="61"/>
      <c r="O18" s="72"/>
      <c r="P18" s="72"/>
    </row>
    <row r="19" spans="2:34" ht="16.5" customHeight="1" x14ac:dyDescent="0.2">
      <c r="B19" s="4" t="s">
        <v>46</v>
      </c>
      <c r="C19" s="104"/>
      <c r="D19" s="13">
        <f t="shared" ref="D19:M19" si="1">SUM(F72:F96)</f>
        <v>26000</v>
      </c>
      <c r="E19" s="13">
        <f t="shared" si="1"/>
        <v>0</v>
      </c>
      <c r="F19" s="13">
        <f t="shared" si="1"/>
        <v>0</v>
      </c>
      <c r="G19" s="13">
        <f t="shared" si="1"/>
        <v>0</v>
      </c>
      <c r="H19" s="13">
        <f t="shared" si="1"/>
        <v>0</v>
      </c>
      <c r="I19" s="13">
        <f t="shared" si="1"/>
        <v>0</v>
      </c>
      <c r="J19" s="13">
        <f t="shared" si="1"/>
        <v>0</v>
      </c>
      <c r="K19" s="13">
        <f t="shared" si="1"/>
        <v>0</v>
      </c>
      <c r="L19" s="13">
        <f t="shared" si="1"/>
        <v>0</v>
      </c>
      <c r="M19" s="13">
        <f t="shared" si="1"/>
        <v>17500</v>
      </c>
      <c r="N19" s="62"/>
      <c r="O19" s="24"/>
      <c r="P19" s="24"/>
    </row>
    <row r="20" spans="2:34" ht="16.5" customHeight="1" x14ac:dyDescent="0.2">
      <c r="B20" s="5" t="s">
        <v>47</v>
      </c>
      <c r="C20" s="14">
        <f t="shared" ref="C20:L20" si="2">C18+C19</f>
        <v>1595</v>
      </c>
      <c r="D20" s="14">
        <f t="shared" si="2"/>
        <v>247263</v>
      </c>
      <c r="E20" s="14">
        <f t="shared" si="2"/>
        <v>0</v>
      </c>
      <c r="F20" s="14">
        <f t="shared" si="2"/>
        <v>0</v>
      </c>
      <c r="G20" s="14">
        <f t="shared" si="2"/>
        <v>0</v>
      </c>
      <c r="H20" s="14">
        <f t="shared" si="2"/>
        <v>0</v>
      </c>
      <c r="I20" s="14">
        <f t="shared" si="2"/>
        <v>17500</v>
      </c>
      <c r="J20" s="14">
        <f t="shared" si="2"/>
        <v>0</v>
      </c>
      <c r="K20" s="14">
        <f t="shared" si="2"/>
        <v>0</v>
      </c>
      <c r="L20" s="14">
        <f t="shared" si="2"/>
        <v>0</v>
      </c>
      <c r="M20" s="13">
        <f>M19</f>
        <v>17500</v>
      </c>
      <c r="N20" s="62"/>
      <c r="O20" s="24"/>
      <c r="P20" s="24"/>
    </row>
    <row r="21" spans="2:34" ht="16.5" customHeight="1" x14ac:dyDescent="0.2">
      <c r="L21" s="7"/>
      <c r="M21" s="4"/>
      <c r="N21" s="62"/>
      <c r="O21" s="24"/>
      <c r="P21" s="24"/>
    </row>
    <row r="22" spans="2:34" ht="21.75" customHeight="1" x14ac:dyDescent="0.2">
      <c r="L22" s="7"/>
      <c r="M22" s="4"/>
      <c r="N22" s="62"/>
      <c r="O22" s="24"/>
      <c r="P22" s="24"/>
    </row>
    <row r="23" spans="2:34" ht="15" customHeight="1" x14ac:dyDescent="0.2">
      <c r="B23" s="73"/>
      <c r="C23" s="76"/>
      <c r="D23" s="76"/>
      <c r="E23" s="73"/>
      <c r="F23" s="76"/>
      <c r="G23" s="76"/>
      <c r="I23" s="7"/>
      <c r="J23" s="7"/>
      <c r="K23" s="7"/>
      <c r="L23" s="7"/>
      <c r="M23" s="4"/>
      <c r="N23" s="62"/>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70" t="str">
        <f>C3</f>
        <v>Seattle City Light</v>
      </c>
      <c r="G36" s="171"/>
      <c r="H36" s="172"/>
    </row>
    <row r="37" spans="2:34" ht="15" customHeight="1" x14ac:dyDescent="0.2">
      <c r="E37" s="10" t="s">
        <v>13</v>
      </c>
      <c r="F37" s="173">
        <v>2014</v>
      </c>
      <c r="G37" s="174"/>
      <c r="H37" s="175"/>
    </row>
    <row r="38" spans="2:34" ht="15" customHeight="1" x14ac:dyDescent="0.2">
      <c r="E38" s="10"/>
      <c r="F38" s="71"/>
      <c r="G38" s="9"/>
      <c r="H38" s="9"/>
    </row>
    <row r="39" spans="2:34" s="29" customFormat="1" ht="27" customHeight="1" x14ac:dyDescent="0.25">
      <c r="B39" s="176" t="s">
        <v>173</v>
      </c>
      <c r="C39" s="177"/>
      <c r="D39" s="177"/>
      <c r="E39" s="178"/>
      <c r="F39" s="178"/>
      <c r="G39" s="178"/>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7" t="s">
        <v>35</v>
      </c>
      <c r="C43" s="179" t="s">
        <v>62</v>
      </c>
      <c r="D43" s="179"/>
      <c r="E43" s="25" t="s">
        <v>7</v>
      </c>
      <c r="F43" s="25" t="s">
        <v>7</v>
      </c>
      <c r="G43" s="25" t="s">
        <v>7</v>
      </c>
      <c r="H43" s="25" t="s">
        <v>7</v>
      </c>
      <c r="I43" s="25" t="s">
        <v>7</v>
      </c>
      <c r="J43" s="25" t="s">
        <v>7</v>
      </c>
      <c r="K43" s="25" t="s">
        <v>7</v>
      </c>
      <c r="L43" s="25" t="s">
        <v>7</v>
      </c>
      <c r="M43" s="25" t="s">
        <v>7</v>
      </c>
      <c r="N43" s="25" t="s">
        <v>64</v>
      </c>
      <c r="AH43" s="11"/>
    </row>
    <row r="44" spans="2:34" ht="15" customHeight="1" x14ac:dyDescent="0.2">
      <c r="B44" s="78" t="s">
        <v>229</v>
      </c>
      <c r="C44" s="44"/>
      <c r="D44" s="44" t="s">
        <v>230</v>
      </c>
      <c r="E44" s="194"/>
      <c r="F44" s="195">
        <v>221263</v>
      </c>
      <c r="G44" s="195"/>
      <c r="H44" s="195"/>
      <c r="I44" s="195"/>
      <c r="J44" s="195"/>
      <c r="K44" s="195"/>
      <c r="L44" s="49"/>
      <c r="M44" s="49"/>
      <c r="N44" s="49"/>
    </row>
    <row r="45" spans="2:34" ht="15" customHeight="1" x14ac:dyDescent="0.2">
      <c r="B45" s="79" t="s">
        <v>231</v>
      </c>
      <c r="C45" s="45"/>
      <c r="D45" s="45"/>
      <c r="E45" s="196">
        <v>1595</v>
      </c>
      <c r="F45" s="197"/>
      <c r="G45" s="197"/>
      <c r="H45" s="197"/>
      <c r="I45" s="197"/>
      <c r="J45" s="197"/>
      <c r="K45" s="197"/>
      <c r="L45" s="51"/>
      <c r="M45" s="51"/>
      <c r="N45" s="51"/>
    </row>
    <row r="46" spans="2:34" ht="15" customHeight="1" x14ac:dyDescent="0.2">
      <c r="B46" s="79" t="s">
        <v>232</v>
      </c>
      <c r="C46" s="45"/>
      <c r="D46" s="45" t="s">
        <v>233</v>
      </c>
      <c r="E46" s="196"/>
      <c r="F46" s="197"/>
      <c r="G46" s="197"/>
      <c r="H46" s="197"/>
      <c r="I46" s="197"/>
      <c r="J46" s="197"/>
      <c r="K46" s="197">
        <v>17500</v>
      </c>
      <c r="L46" s="51"/>
      <c r="M46" s="51"/>
      <c r="N46" s="51"/>
    </row>
    <row r="47" spans="2:34" ht="15" customHeight="1" x14ac:dyDescent="0.2">
      <c r="B47" s="80"/>
      <c r="C47" s="46"/>
      <c r="D47" s="46"/>
      <c r="E47" s="50"/>
      <c r="F47" s="51"/>
      <c r="G47" s="51"/>
      <c r="H47" s="51"/>
      <c r="I47" s="51"/>
      <c r="J47" s="51"/>
      <c r="K47" s="51"/>
      <c r="L47" s="51"/>
      <c r="M47" s="51"/>
      <c r="N47" s="51"/>
    </row>
    <row r="48" spans="2:34" ht="15" customHeight="1" x14ac:dyDescent="0.2">
      <c r="B48" s="81"/>
      <c r="C48" s="38"/>
      <c r="D48" s="38"/>
      <c r="E48" s="50"/>
      <c r="F48" s="51"/>
      <c r="G48" s="51"/>
      <c r="H48" s="51"/>
      <c r="I48" s="51"/>
      <c r="J48" s="51"/>
      <c r="K48" s="51"/>
      <c r="L48" s="51"/>
      <c r="M48" s="51"/>
      <c r="N48" s="51"/>
    </row>
    <row r="49" spans="2:14" ht="15" customHeight="1" x14ac:dyDescent="0.2">
      <c r="B49" s="41"/>
      <c r="C49" s="39"/>
      <c r="D49" s="39"/>
      <c r="E49" s="50"/>
      <c r="F49" s="51"/>
      <c r="G49" s="51"/>
      <c r="H49" s="51"/>
      <c r="I49" s="51"/>
      <c r="J49" s="51"/>
      <c r="K49" s="51"/>
      <c r="L49" s="51"/>
      <c r="M49" s="51"/>
      <c r="N49" s="51"/>
    </row>
    <row r="50" spans="2:14" ht="15" customHeight="1" x14ac:dyDescent="0.2">
      <c r="B50" s="41"/>
      <c r="C50" s="39"/>
      <c r="D50" s="39"/>
      <c r="E50" s="50"/>
      <c r="F50" s="51"/>
      <c r="G50" s="51"/>
      <c r="H50" s="51"/>
      <c r="I50" s="51"/>
      <c r="J50" s="51"/>
      <c r="K50" s="51"/>
      <c r="L50" s="51"/>
      <c r="M50" s="51"/>
      <c r="N50" s="51"/>
    </row>
    <row r="51" spans="2:14" ht="15" customHeight="1" x14ac:dyDescent="0.2">
      <c r="B51" s="41"/>
      <c r="C51" s="39"/>
      <c r="D51" s="39"/>
      <c r="E51" s="50"/>
      <c r="F51" s="51"/>
      <c r="G51" s="51"/>
      <c r="H51" s="51"/>
      <c r="I51" s="51"/>
      <c r="J51" s="51"/>
      <c r="K51" s="51"/>
      <c r="L51" s="51"/>
      <c r="M51" s="51"/>
      <c r="N51" s="51"/>
    </row>
    <row r="52" spans="2:14" ht="15" customHeight="1" x14ac:dyDescent="0.2">
      <c r="B52" s="41"/>
      <c r="C52" s="39"/>
      <c r="D52" s="39"/>
      <c r="E52" s="50"/>
      <c r="F52" s="51"/>
      <c r="G52" s="51"/>
      <c r="H52" s="51"/>
      <c r="I52" s="51"/>
      <c r="J52" s="51"/>
      <c r="K52" s="51"/>
      <c r="L52" s="51"/>
      <c r="M52" s="51"/>
      <c r="N52" s="51"/>
    </row>
    <row r="53" spans="2:14" ht="15" customHeight="1" x14ac:dyDescent="0.2">
      <c r="B53" s="41"/>
      <c r="C53" s="39"/>
      <c r="D53" s="39"/>
      <c r="E53" s="50"/>
      <c r="F53" s="51"/>
      <c r="G53" s="51"/>
      <c r="H53" s="51"/>
      <c r="I53" s="51"/>
      <c r="J53" s="51"/>
      <c r="K53" s="51"/>
      <c r="L53" s="51"/>
      <c r="M53" s="51"/>
      <c r="N53" s="51"/>
    </row>
    <row r="54" spans="2:14" ht="15" customHeight="1" x14ac:dyDescent="0.2">
      <c r="B54" s="41"/>
      <c r="C54" s="39"/>
      <c r="D54" s="39"/>
      <c r="E54" s="50"/>
      <c r="F54" s="51"/>
      <c r="G54" s="51"/>
      <c r="H54" s="51"/>
      <c r="I54" s="51"/>
      <c r="J54" s="51"/>
      <c r="K54" s="51"/>
      <c r="L54" s="51"/>
      <c r="M54" s="51"/>
      <c r="N54" s="51"/>
    </row>
    <row r="55" spans="2:14" ht="15" customHeight="1" x14ac:dyDescent="0.2">
      <c r="B55" s="41"/>
      <c r="C55" s="39"/>
      <c r="D55" s="39"/>
      <c r="E55" s="50"/>
      <c r="F55" s="51"/>
      <c r="G55" s="51"/>
      <c r="H55" s="51"/>
      <c r="I55" s="51"/>
      <c r="J55" s="51"/>
      <c r="K55" s="51"/>
      <c r="L55" s="51"/>
      <c r="M55" s="51"/>
      <c r="N55" s="51"/>
    </row>
    <row r="56" spans="2:14" ht="15" customHeight="1" x14ac:dyDescent="0.2">
      <c r="B56" s="41"/>
      <c r="C56" s="39"/>
      <c r="D56" s="39"/>
      <c r="E56" s="50"/>
      <c r="F56" s="51"/>
      <c r="G56" s="51"/>
      <c r="H56" s="51"/>
      <c r="I56" s="51"/>
      <c r="J56" s="51"/>
      <c r="K56" s="51"/>
      <c r="L56" s="51"/>
      <c r="M56" s="51"/>
      <c r="N56" s="51"/>
    </row>
    <row r="57" spans="2:14" ht="15" customHeight="1" x14ac:dyDescent="0.2">
      <c r="B57" s="41"/>
      <c r="C57" s="39"/>
      <c r="D57" s="39"/>
      <c r="E57" s="50"/>
      <c r="F57" s="51"/>
      <c r="G57" s="51"/>
      <c r="H57" s="51"/>
      <c r="I57" s="51"/>
      <c r="J57" s="51"/>
      <c r="K57" s="51"/>
      <c r="L57" s="51"/>
      <c r="M57" s="51"/>
      <c r="N57" s="51"/>
    </row>
    <row r="58" spans="2:14" ht="15" customHeight="1" x14ac:dyDescent="0.2">
      <c r="B58" s="41"/>
      <c r="C58" s="39"/>
      <c r="D58" s="39"/>
      <c r="E58" s="50"/>
      <c r="F58" s="51"/>
      <c r="G58" s="51"/>
      <c r="H58" s="51"/>
      <c r="I58" s="51"/>
      <c r="J58" s="51"/>
      <c r="K58" s="51"/>
      <c r="L58" s="51"/>
      <c r="M58" s="51"/>
      <c r="N58" s="51"/>
    </row>
    <row r="59" spans="2:14" ht="15" customHeight="1" x14ac:dyDescent="0.2">
      <c r="B59" s="41"/>
      <c r="C59" s="39"/>
      <c r="D59" s="39"/>
      <c r="E59" s="50"/>
      <c r="F59" s="51"/>
      <c r="G59" s="51"/>
      <c r="H59" s="51"/>
      <c r="I59" s="51"/>
      <c r="J59" s="51"/>
      <c r="K59" s="51"/>
      <c r="L59" s="51"/>
      <c r="M59" s="51"/>
      <c r="N59" s="51"/>
    </row>
    <row r="60" spans="2:14" ht="15" customHeight="1" x14ac:dyDescent="0.2">
      <c r="B60" s="41"/>
      <c r="C60" s="39"/>
      <c r="D60" s="39"/>
      <c r="E60" s="50"/>
      <c r="F60" s="51"/>
      <c r="G60" s="51"/>
      <c r="H60" s="51"/>
      <c r="I60" s="51"/>
      <c r="J60" s="51"/>
      <c r="K60" s="51"/>
      <c r="L60" s="51"/>
      <c r="M60" s="51"/>
      <c r="N60" s="51"/>
    </row>
    <row r="61" spans="2:14" ht="15" customHeight="1" x14ac:dyDescent="0.2">
      <c r="B61" s="41"/>
      <c r="C61" s="39"/>
      <c r="D61" s="39"/>
      <c r="E61" s="50"/>
      <c r="F61" s="51"/>
      <c r="G61" s="51"/>
      <c r="H61" s="51"/>
      <c r="I61" s="51"/>
      <c r="J61" s="51"/>
      <c r="K61" s="51"/>
      <c r="L61" s="51"/>
      <c r="M61" s="51"/>
      <c r="N61" s="51"/>
    </row>
    <row r="62" spans="2:14" ht="15" customHeight="1" x14ac:dyDescent="0.2">
      <c r="B62" s="41"/>
      <c r="C62" s="39"/>
      <c r="D62" s="39"/>
      <c r="E62" s="50"/>
      <c r="F62" s="51"/>
      <c r="G62" s="51"/>
      <c r="H62" s="51"/>
      <c r="I62" s="51"/>
      <c r="J62" s="51"/>
      <c r="K62" s="51"/>
      <c r="L62" s="51"/>
      <c r="M62" s="51"/>
      <c r="N62" s="51"/>
    </row>
    <row r="63" spans="2:14" ht="15" customHeight="1" x14ac:dyDescent="0.2">
      <c r="B63" s="41"/>
      <c r="C63" s="39"/>
      <c r="D63" s="39"/>
      <c r="E63" s="50"/>
      <c r="F63" s="51"/>
      <c r="G63" s="51"/>
      <c r="H63" s="51"/>
      <c r="I63" s="51"/>
      <c r="J63" s="51"/>
      <c r="K63" s="51"/>
      <c r="L63" s="51"/>
      <c r="M63" s="51"/>
      <c r="N63" s="51"/>
    </row>
    <row r="64" spans="2:14" ht="15" customHeight="1" x14ac:dyDescent="0.2">
      <c r="B64" s="42"/>
      <c r="C64" s="40"/>
      <c r="D64" s="40"/>
      <c r="E64" s="53"/>
      <c r="F64" s="54"/>
      <c r="G64" s="54"/>
      <c r="H64" s="54"/>
      <c r="I64" s="54"/>
      <c r="J64" s="54"/>
      <c r="K64" s="54"/>
      <c r="L64" s="54"/>
      <c r="M64" s="54"/>
      <c r="N64" s="54"/>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70" t="str">
        <f>C3</f>
        <v>Seattle City Light</v>
      </c>
      <c r="G66" s="171"/>
      <c r="H66" s="172"/>
    </row>
    <row r="67" spans="1:34" ht="15" customHeight="1" x14ac:dyDescent="0.2">
      <c r="E67" s="10" t="s">
        <v>13</v>
      </c>
      <c r="F67" s="173">
        <v>2014</v>
      </c>
      <c r="G67" s="174"/>
      <c r="H67" s="175"/>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7"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48" t="s">
        <v>234</v>
      </c>
      <c r="C72" s="48" t="s">
        <v>235</v>
      </c>
      <c r="D72" s="48">
        <v>2014</v>
      </c>
      <c r="E72" s="56"/>
      <c r="F72" s="195">
        <v>11000</v>
      </c>
      <c r="G72" s="195"/>
      <c r="H72" s="195"/>
      <c r="I72" s="195"/>
      <c r="J72" s="195"/>
      <c r="K72" s="195"/>
      <c r="L72" s="195"/>
      <c r="M72" s="195"/>
      <c r="N72" s="195"/>
      <c r="O72" s="198"/>
    </row>
    <row r="73" spans="1:34" ht="15" customHeight="1" x14ac:dyDescent="0.2">
      <c r="A73" s="7"/>
      <c r="B73" s="48" t="s">
        <v>236</v>
      </c>
      <c r="C73" s="48" t="s">
        <v>237</v>
      </c>
      <c r="D73" s="48">
        <v>2014</v>
      </c>
      <c r="E73" s="57"/>
      <c r="F73" s="197">
        <v>6000</v>
      </c>
      <c r="G73" s="197"/>
      <c r="H73" s="197"/>
      <c r="I73" s="197"/>
      <c r="J73" s="197"/>
      <c r="K73" s="197"/>
      <c r="L73" s="197"/>
      <c r="M73" s="197"/>
      <c r="N73" s="197"/>
      <c r="O73" s="199"/>
    </row>
    <row r="74" spans="1:34" ht="15" customHeight="1" x14ac:dyDescent="0.2">
      <c r="A74" s="7"/>
      <c r="B74" s="48" t="s">
        <v>238</v>
      </c>
      <c r="C74" s="48" t="s">
        <v>239</v>
      </c>
      <c r="D74" s="48">
        <v>2014</v>
      </c>
      <c r="E74" s="57"/>
      <c r="F74" s="197">
        <v>3000</v>
      </c>
      <c r="G74" s="197"/>
      <c r="H74" s="197"/>
      <c r="I74" s="197"/>
      <c r="J74" s="197"/>
      <c r="K74" s="197"/>
      <c r="L74" s="197"/>
      <c r="M74" s="197"/>
      <c r="N74" s="197"/>
      <c r="O74" s="199"/>
    </row>
    <row r="75" spans="1:34" ht="15" customHeight="1" x14ac:dyDescent="0.2">
      <c r="A75" s="7"/>
      <c r="B75" s="48" t="s">
        <v>240</v>
      </c>
      <c r="C75" s="48" t="s">
        <v>241</v>
      </c>
      <c r="D75" s="48">
        <v>2014</v>
      </c>
      <c r="E75" s="57"/>
      <c r="F75" s="197">
        <v>6000</v>
      </c>
      <c r="G75" s="197"/>
      <c r="H75" s="197"/>
      <c r="I75" s="197"/>
      <c r="J75" s="197"/>
      <c r="K75" s="197"/>
      <c r="L75" s="197"/>
      <c r="M75" s="197"/>
      <c r="N75" s="197"/>
      <c r="O75" s="199"/>
    </row>
    <row r="76" spans="1:34" ht="15" customHeight="1" x14ac:dyDescent="0.2">
      <c r="A76" s="7"/>
      <c r="B76" s="41" t="s">
        <v>232</v>
      </c>
      <c r="C76" s="41" t="s">
        <v>233</v>
      </c>
      <c r="D76" s="41">
        <v>2014</v>
      </c>
      <c r="E76" s="200"/>
      <c r="F76" s="197"/>
      <c r="G76" s="197"/>
      <c r="H76" s="197"/>
      <c r="I76" s="197"/>
      <c r="J76" s="197"/>
      <c r="K76" s="197"/>
      <c r="L76" s="197"/>
      <c r="M76" s="197"/>
      <c r="N76" s="197"/>
      <c r="O76" s="199">
        <v>17500</v>
      </c>
    </row>
    <row r="77" spans="1:34" ht="15" customHeight="1" x14ac:dyDescent="0.2">
      <c r="A77" s="7"/>
      <c r="B77" s="41"/>
      <c r="C77" s="41"/>
      <c r="D77" s="41"/>
      <c r="E77" s="58"/>
      <c r="F77" s="51"/>
      <c r="G77" s="51"/>
      <c r="H77" s="51"/>
      <c r="I77" s="51"/>
      <c r="J77" s="51"/>
      <c r="K77" s="51"/>
      <c r="L77" s="51"/>
      <c r="M77" s="51"/>
      <c r="N77" s="51"/>
      <c r="O77" s="52"/>
    </row>
    <row r="78" spans="1:34" ht="15" customHeight="1" x14ac:dyDescent="0.2">
      <c r="A78" s="7"/>
      <c r="B78" s="41"/>
      <c r="C78" s="41"/>
      <c r="D78" s="41"/>
      <c r="E78" s="58"/>
      <c r="F78" s="51"/>
      <c r="G78" s="51"/>
      <c r="H78" s="51"/>
      <c r="I78" s="51"/>
      <c r="J78" s="51"/>
      <c r="K78" s="51"/>
      <c r="L78" s="51"/>
      <c r="M78" s="51"/>
      <c r="N78" s="51"/>
      <c r="O78" s="52"/>
    </row>
    <row r="79" spans="1:34" ht="15" customHeight="1" x14ac:dyDescent="0.2">
      <c r="B79" s="47"/>
      <c r="C79" s="47"/>
      <c r="D79" s="47"/>
      <c r="E79" s="58"/>
      <c r="F79" s="51"/>
      <c r="G79" s="51"/>
      <c r="H79" s="51"/>
      <c r="I79" s="51"/>
      <c r="J79" s="51"/>
      <c r="K79" s="51"/>
      <c r="L79" s="51"/>
      <c r="M79" s="51"/>
      <c r="N79" s="51"/>
      <c r="O79" s="52"/>
    </row>
    <row r="80" spans="1:34" ht="15" customHeight="1" x14ac:dyDescent="0.2">
      <c r="B80" s="41"/>
      <c r="C80" s="41"/>
      <c r="D80" s="41"/>
      <c r="E80" s="58"/>
      <c r="F80" s="51"/>
      <c r="G80" s="51"/>
      <c r="H80" s="51"/>
      <c r="I80" s="51"/>
      <c r="J80" s="51"/>
      <c r="K80" s="51"/>
      <c r="L80" s="51"/>
      <c r="M80" s="51"/>
      <c r="N80" s="51"/>
      <c r="O80" s="52"/>
    </row>
    <row r="81" spans="2:15" ht="15" customHeight="1" x14ac:dyDescent="0.2">
      <c r="B81" s="41"/>
      <c r="C81" s="41"/>
      <c r="D81" s="41"/>
      <c r="E81" s="58"/>
      <c r="F81" s="51"/>
      <c r="G81" s="51"/>
      <c r="H81" s="51"/>
      <c r="I81" s="51"/>
      <c r="J81" s="51"/>
      <c r="K81" s="51"/>
      <c r="L81" s="51"/>
      <c r="M81" s="51"/>
      <c r="N81" s="51"/>
      <c r="O81" s="52"/>
    </row>
    <row r="82" spans="2:15" ht="15" customHeight="1" x14ac:dyDescent="0.2">
      <c r="B82" s="41"/>
      <c r="C82" s="41"/>
      <c r="D82" s="41"/>
      <c r="E82" s="58"/>
      <c r="F82" s="51"/>
      <c r="G82" s="51"/>
      <c r="H82" s="51"/>
      <c r="I82" s="51"/>
      <c r="J82" s="51"/>
      <c r="K82" s="51"/>
      <c r="L82" s="51"/>
      <c r="M82" s="51"/>
      <c r="N82" s="51"/>
      <c r="O82" s="52"/>
    </row>
    <row r="83" spans="2:15" ht="15" customHeight="1" x14ac:dyDescent="0.2">
      <c r="B83" s="41"/>
      <c r="C83" s="41"/>
      <c r="D83" s="41"/>
      <c r="E83" s="58"/>
      <c r="F83" s="51"/>
      <c r="G83" s="51"/>
      <c r="H83" s="51"/>
      <c r="I83" s="51"/>
      <c r="J83" s="51"/>
      <c r="K83" s="51"/>
      <c r="L83" s="51"/>
      <c r="M83" s="51"/>
      <c r="N83" s="51"/>
      <c r="O83" s="52"/>
    </row>
    <row r="84" spans="2:15" ht="15" customHeight="1" x14ac:dyDescent="0.2">
      <c r="B84" s="41"/>
      <c r="C84" s="41"/>
      <c r="D84" s="41"/>
      <c r="E84" s="58"/>
      <c r="F84" s="51"/>
      <c r="G84" s="51"/>
      <c r="H84" s="51"/>
      <c r="I84" s="51"/>
      <c r="J84" s="51"/>
      <c r="K84" s="51"/>
      <c r="L84" s="51"/>
      <c r="M84" s="51"/>
      <c r="N84" s="51"/>
      <c r="O84" s="52"/>
    </row>
    <row r="85" spans="2:15" ht="15" customHeight="1" x14ac:dyDescent="0.2">
      <c r="B85" s="41"/>
      <c r="C85" s="41"/>
      <c r="D85" s="41"/>
      <c r="E85" s="58"/>
      <c r="F85" s="51"/>
      <c r="G85" s="51"/>
      <c r="H85" s="51"/>
      <c r="I85" s="51"/>
      <c r="J85" s="51"/>
      <c r="K85" s="51"/>
      <c r="L85" s="51"/>
      <c r="M85" s="51"/>
      <c r="N85" s="51"/>
      <c r="O85" s="52"/>
    </row>
    <row r="86" spans="2:15" ht="15" customHeight="1" x14ac:dyDescent="0.2">
      <c r="B86" s="41"/>
      <c r="C86" s="41"/>
      <c r="D86" s="41"/>
      <c r="E86" s="58"/>
      <c r="F86" s="51"/>
      <c r="G86" s="51"/>
      <c r="H86" s="51"/>
      <c r="I86" s="51"/>
      <c r="J86" s="51"/>
      <c r="K86" s="51"/>
      <c r="L86" s="51"/>
      <c r="M86" s="51"/>
      <c r="N86" s="51"/>
      <c r="O86" s="52"/>
    </row>
    <row r="87" spans="2:15" ht="15" customHeight="1" x14ac:dyDescent="0.2">
      <c r="B87" s="41"/>
      <c r="C87" s="41"/>
      <c r="D87" s="41"/>
      <c r="E87" s="58"/>
      <c r="F87" s="51"/>
      <c r="G87" s="51"/>
      <c r="H87" s="51"/>
      <c r="I87" s="51"/>
      <c r="J87" s="51"/>
      <c r="K87" s="51"/>
      <c r="L87" s="51"/>
      <c r="M87" s="51"/>
      <c r="N87" s="51"/>
      <c r="O87" s="52"/>
    </row>
    <row r="88" spans="2:15" ht="15" customHeight="1" x14ac:dyDescent="0.2">
      <c r="B88" s="41"/>
      <c r="C88" s="41"/>
      <c r="D88" s="41"/>
      <c r="E88" s="58"/>
      <c r="F88" s="51"/>
      <c r="G88" s="51"/>
      <c r="H88" s="51"/>
      <c r="I88" s="51"/>
      <c r="J88" s="51"/>
      <c r="K88" s="51"/>
      <c r="L88" s="51"/>
      <c r="M88" s="51"/>
      <c r="N88" s="51"/>
      <c r="O88" s="52"/>
    </row>
    <row r="89" spans="2:15" ht="15" customHeight="1" x14ac:dyDescent="0.2">
      <c r="B89" s="41"/>
      <c r="C89" s="41"/>
      <c r="D89" s="41"/>
      <c r="E89" s="58"/>
      <c r="F89" s="51"/>
      <c r="G89" s="51"/>
      <c r="H89" s="51"/>
      <c r="I89" s="51"/>
      <c r="J89" s="51"/>
      <c r="K89" s="51"/>
      <c r="L89" s="51"/>
      <c r="M89" s="51"/>
      <c r="N89" s="51"/>
      <c r="O89" s="52"/>
    </row>
    <row r="90" spans="2:15" ht="15" customHeight="1" x14ac:dyDescent="0.2">
      <c r="B90" s="41"/>
      <c r="C90" s="41"/>
      <c r="D90" s="41"/>
      <c r="E90" s="58"/>
      <c r="F90" s="51"/>
      <c r="G90" s="51"/>
      <c r="H90" s="51"/>
      <c r="I90" s="51"/>
      <c r="J90" s="51"/>
      <c r="K90" s="51"/>
      <c r="L90" s="51"/>
      <c r="M90" s="51"/>
      <c r="N90" s="51"/>
      <c r="O90" s="52"/>
    </row>
    <row r="91" spans="2:15" ht="15" customHeight="1" x14ac:dyDescent="0.2">
      <c r="B91" s="41"/>
      <c r="C91" s="41"/>
      <c r="D91" s="41"/>
      <c r="E91" s="58"/>
      <c r="F91" s="51"/>
      <c r="G91" s="51"/>
      <c r="H91" s="51"/>
      <c r="I91" s="51"/>
      <c r="J91" s="51"/>
      <c r="K91" s="51"/>
      <c r="L91" s="51"/>
      <c r="M91" s="51"/>
      <c r="N91" s="51"/>
      <c r="O91" s="52"/>
    </row>
    <row r="92" spans="2:15" ht="15" customHeight="1" x14ac:dyDescent="0.2">
      <c r="B92" s="41"/>
      <c r="C92" s="41"/>
      <c r="D92" s="41"/>
      <c r="E92" s="58"/>
      <c r="F92" s="51"/>
      <c r="G92" s="51"/>
      <c r="H92" s="51"/>
      <c r="I92" s="51"/>
      <c r="J92" s="51"/>
      <c r="K92" s="51"/>
      <c r="L92" s="51"/>
      <c r="M92" s="51"/>
      <c r="N92" s="51"/>
      <c r="O92" s="52"/>
    </row>
    <row r="93" spans="2:15" ht="15" customHeight="1" x14ac:dyDescent="0.2">
      <c r="B93" s="41"/>
      <c r="C93" s="41"/>
      <c r="D93" s="41"/>
      <c r="E93" s="58"/>
      <c r="F93" s="51"/>
      <c r="G93" s="51"/>
      <c r="H93" s="51"/>
      <c r="I93" s="51"/>
      <c r="J93" s="51"/>
      <c r="K93" s="51"/>
      <c r="L93" s="51"/>
      <c r="M93" s="51"/>
      <c r="N93" s="51"/>
      <c r="O93" s="52"/>
    </row>
    <row r="94" spans="2:15" ht="15" customHeight="1" x14ac:dyDescent="0.2">
      <c r="B94" s="41"/>
      <c r="C94" s="41"/>
      <c r="D94" s="41"/>
      <c r="E94" s="58"/>
      <c r="F94" s="51"/>
      <c r="G94" s="51"/>
      <c r="H94" s="51"/>
      <c r="I94" s="51"/>
      <c r="J94" s="51"/>
      <c r="K94" s="51"/>
      <c r="L94" s="51"/>
      <c r="M94" s="51"/>
      <c r="N94" s="51"/>
      <c r="O94" s="52"/>
    </row>
    <row r="95" spans="2:15" ht="15" customHeight="1" x14ac:dyDescent="0.2">
      <c r="B95" s="41"/>
      <c r="C95" s="41"/>
      <c r="D95" s="41"/>
      <c r="E95" s="58"/>
      <c r="F95" s="51"/>
      <c r="G95" s="51"/>
      <c r="H95" s="51"/>
      <c r="I95" s="51"/>
      <c r="J95" s="51"/>
      <c r="K95" s="51"/>
      <c r="L95" s="51"/>
      <c r="M95" s="51"/>
      <c r="N95" s="51"/>
      <c r="O95" s="52"/>
    </row>
    <row r="96" spans="2:15" ht="15" customHeight="1" x14ac:dyDescent="0.2">
      <c r="B96" s="42"/>
      <c r="C96" s="42"/>
      <c r="D96" s="42"/>
      <c r="E96" s="59"/>
      <c r="F96" s="54"/>
      <c r="G96" s="54"/>
      <c r="H96" s="54"/>
      <c r="I96" s="54"/>
      <c r="J96" s="54"/>
      <c r="K96" s="54"/>
      <c r="L96" s="54"/>
      <c r="M96" s="54"/>
      <c r="N96" s="54"/>
      <c r="O96" s="55"/>
    </row>
    <row r="97" spans="2:34" ht="15" customHeight="1" x14ac:dyDescent="0.2"/>
    <row r="98" spans="2:34" ht="15" customHeight="1" x14ac:dyDescent="0.2">
      <c r="B98" s="11"/>
      <c r="C98" s="11"/>
      <c r="D98" s="11"/>
      <c r="E98" s="10" t="s">
        <v>4</v>
      </c>
      <c r="F98" s="170" t="str">
        <f>C3</f>
        <v>Seattle City Light</v>
      </c>
      <c r="G98" s="171"/>
      <c r="H98" s="172"/>
    </row>
    <row r="99" spans="2:34" ht="15" customHeight="1" x14ac:dyDescent="0.2">
      <c r="E99" s="10" t="s">
        <v>50</v>
      </c>
      <c r="F99" s="173">
        <v>2014</v>
      </c>
      <c r="G99" s="174"/>
      <c r="H99" s="175"/>
    </row>
    <row r="100" spans="2:34" ht="15" customHeight="1" x14ac:dyDescent="0.2">
      <c r="B100" s="11" t="s">
        <v>78</v>
      </c>
      <c r="C100" s="11"/>
      <c r="D100" s="11"/>
      <c r="E100" s="10"/>
      <c r="F100" s="71"/>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Seattle City Light</v>
      </c>
      <c r="B2">
        <f>REN_Total_2014</f>
        <v>283858</v>
      </c>
      <c r="C2">
        <f>CON_2012_Agriculture_MWH</f>
        <v>0</v>
      </c>
      <c r="D2">
        <f>CON_2012_Commercial_Expend</f>
        <v>14456681</v>
      </c>
      <c r="E2">
        <f>CON_2012_Commercial_MWH</f>
        <v>43678.944000000003</v>
      </c>
      <c r="F2">
        <f>CON_2012_Distribution_Expend</f>
        <v>0</v>
      </c>
      <c r="G2">
        <f>CON_2012_Distribution_MWH</f>
        <v>0</v>
      </c>
      <c r="H2">
        <f>CON_2012_Expenditures</f>
        <v>29818309</v>
      </c>
      <c r="I2">
        <f>CON_2012_Industrial_Expend</f>
        <v>1604868</v>
      </c>
      <c r="J2">
        <f>CON_2012_Industrial_MWH</f>
        <v>11279.567999999999</v>
      </c>
      <c r="K2">
        <f>CON_2012_MWH</f>
        <v>137373.99100000001</v>
      </c>
      <c r="L2">
        <f>CON_2012_NEEA_Expend</f>
        <v>1631620</v>
      </c>
      <c r="M2">
        <f>CON_2012_NEEA_MWH</f>
        <v>29214.008999999998</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0</v>
      </c>
      <c r="U2">
        <f>CON_2012_Program2_Expend</f>
        <v>0</v>
      </c>
      <c r="V2">
        <f>CON_2012_Residential_Expend</f>
        <v>12125140</v>
      </c>
      <c r="W2">
        <f>CON_2012_Residential_MWH</f>
        <v>53201.47</v>
      </c>
      <c r="X2">
        <f>CON_2013_Agriculture_Expend</f>
        <v>0</v>
      </c>
      <c r="Y2">
        <f>CON_2013_Agriculture_MWH</f>
        <v>0</v>
      </c>
      <c r="Z2">
        <f>CON_2013_Commercial_Expend</f>
        <v>16673431</v>
      </c>
      <c r="AA2">
        <f>CON_2013_Commercial_MWH</f>
        <v>38759.260999999999</v>
      </c>
      <c r="AB2">
        <f>CON_2013_Distribution_Expend</f>
        <v>0</v>
      </c>
      <c r="AC2">
        <f>CON_2013_Distribution_MWH</f>
        <v>0</v>
      </c>
      <c r="AD2">
        <f>CON_2013_Expenditures</f>
        <v>39096397</v>
      </c>
      <c r="AE2">
        <f>CON_2013_Industrial_Expend</f>
        <v>4010093</v>
      </c>
      <c r="AF2">
        <f>CON_2013_Industrial_MWH</f>
        <v>10246.674000000001</v>
      </c>
      <c r="AG2">
        <f>CON_2013_MWH</f>
        <v>119894.424</v>
      </c>
      <c r="AH2">
        <f>CON_2013_NEEA_Expend</f>
        <v>1631620</v>
      </c>
      <c r="AI2">
        <f>CON_2013_NEEA_MWH</f>
        <v>34936.438999999998</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0</v>
      </c>
      <c r="AQ2">
        <f>CON_2013_Program2_Expend</f>
        <v>0</v>
      </c>
      <c r="AR2">
        <f>CON_2013_Residential_Expend</f>
        <v>16781253</v>
      </c>
      <c r="AS2">
        <f>CON_2013_Residential_MWH</f>
        <v>35952.050000000003</v>
      </c>
      <c r="AT2" t="str">
        <f>CON_Contact_Name</f>
        <v>Mike Little - Conservation Resources Division</v>
      </c>
      <c r="AU2" t="str">
        <f>CON_Email</f>
        <v>michael.little@seattle.gov</v>
      </c>
      <c r="AV2" t="str">
        <f>CON_Phone</f>
        <v>206 684 3233</v>
      </c>
      <c r="AW2">
        <f>CON_Potential_2012_2021</f>
        <v>1051375</v>
      </c>
      <c r="AX2">
        <f>CON_Potential_2014_2023</f>
        <v>1037184</v>
      </c>
      <c r="AY2">
        <f>CON_Report_Date</f>
        <v>41780</v>
      </c>
      <c r="AZ2">
        <f>CON_Target_2012_2013</f>
        <v>210327.6</v>
      </c>
      <c r="BA2">
        <f>CON_Target_2014_2015</f>
        <v>207436.79999999999</v>
      </c>
      <c r="BB2" t="str">
        <f>CON_Utility_Name</f>
        <v>Seattle City Light</v>
      </c>
      <c r="BC2" t="str">
        <f>REN_Contact_Name</f>
        <v>Robert W. Cromwell, Jr.</v>
      </c>
      <c r="BD2" t="str">
        <f>REN_Email</f>
        <v>Robert.Cromwell@seattle.gov</v>
      </c>
      <c r="BE2">
        <f>REN_ERR_ApprenticeLabor</f>
        <v>0</v>
      </c>
      <c r="BF2">
        <f>REN_ERR_Biodiesel</f>
        <v>0</v>
      </c>
      <c r="BG2">
        <f>REN_ERR_Biomass</f>
        <v>0</v>
      </c>
      <c r="BH2">
        <f>REN_ERR_Geothermal</f>
        <v>0</v>
      </c>
      <c r="BI2">
        <f>REN_ERR_LandfillGas</f>
        <v>0</v>
      </c>
      <c r="BJ2">
        <f>REN_ERR_SewageGas</f>
        <v>17500</v>
      </c>
      <c r="BK2">
        <f>REN_ERR_Solar</f>
        <v>0</v>
      </c>
      <c r="BL2">
        <f>REN_ERR_Water</f>
        <v>1595</v>
      </c>
      <c r="BM2">
        <f>REN_ERR_Wind</f>
        <v>221263</v>
      </c>
      <c r="BN2">
        <f>REN_ERR_WOT</f>
        <v>0</v>
      </c>
      <c r="BO2">
        <f>REN_Expenditure_Amount_2014</f>
        <v>5687807.7270314191</v>
      </c>
      <c r="BP2">
        <f>REN_Expenditure_Percent_2014</f>
        <v>7.5444712830902722E-3</v>
      </c>
      <c r="BQ2">
        <f>REN_Load_2012</f>
        <v>9466642</v>
      </c>
      <c r="BR2">
        <f>REN_Load_2013</f>
        <v>9457191</v>
      </c>
      <c r="BS2">
        <f>REN_REC_ApprenticeLabor</f>
        <v>0</v>
      </c>
      <c r="BT2">
        <f>REN_REC_Biodiesel</f>
        <v>0</v>
      </c>
      <c r="BU2">
        <f>REN_REC_Biomass</f>
        <v>0</v>
      </c>
      <c r="BV2">
        <f>REN_REC_DistributedGeneration</f>
        <v>17500</v>
      </c>
      <c r="BW2">
        <f>REN_REC_Geothermal</f>
        <v>0</v>
      </c>
      <c r="BX2">
        <f>REN_REC_LandfillGas</f>
        <v>0</v>
      </c>
      <c r="BY2">
        <f>REN_REC_SewageGas</f>
        <v>0</v>
      </c>
      <c r="BZ2">
        <f>REN_REC_Solar</f>
        <v>0</v>
      </c>
      <c r="CA2">
        <f>REN_REC_Wind</f>
        <v>26000</v>
      </c>
      <c r="CB2">
        <f>REN_REC_WOT</f>
        <v>0</v>
      </c>
      <c r="CC2">
        <f>REN_RetailRevenueRequirement_2014</f>
        <v>753904086</v>
      </c>
      <c r="CD2">
        <f>REN_Submittal_Date</f>
        <v>41780</v>
      </c>
      <c r="CE2">
        <f>REN_Total_2014</f>
        <v>283858</v>
      </c>
      <c r="CF2" t="str">
        <f>REN_Utility_Name</f>
        <v>Seattle City Light</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schemas.microsoft.com/office/2006/documentManagement/types"/>
    <ds:schemaRef ds:uri="http://schemas.microsoft.com/sharepoint/v3"/>
    <ds:schemaRef ds:uri="http://purl.org/dc/dcmitype/"/>
    <ds:schemaRef ds:uri="http://purl.org/dc/terms/"/>
    <ds:schemaRef ds:uri="http://schemas.microsoft.com/office/infopath/2007/PartnerControls"/>
    <ds:schemaRef ds:uri="http://www.w3.org/XML/1998/namespace"/>
    <ds:schemaRef ds:uri="http://schemas.openxmlformats.org/package/2006/metadata/core-properties"/>
    <ds:schemaRef ds:uri="http://purl.org/dc/elements/1.1/"/>
    <ds:schemaRef ds:uri="59db5950-9a61-4c09-b3e2-fe6d472fba04"/>
    <ds:schemaRef ds:uri="63979cc8-f6b2-4ee6-8bed-630b6048d169"/>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85</vt:i4>
      </vt:variant>
    </vt:vector>
  </HeadingPairs>
  <TitlesOfParts>
    <vt:vector size="91" baseType="lpstr">
      <vt:lpstr>Instructions - 2014</vt:lpstr>
      <vt:lpstr>Instructions - Revise 2012</vt:lpstr>
      <vt:lpstr>Conservation Report</vt:lpstr>
      <vt:lpstr>calcs for incremental cost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Eric Espenhorst</cp:lastModifiedBy>
  <cp:lastPrinted>2014-03-31T21:01:12Z</cp:lastPrinted>
  <dcterms:created xsi:type="dcterms:W3CDTF">2012-03-20T21:01:26Z</dcterms:created>
  <dcterms:modified xsi:type="dcterms:W3CDTF">2014-05-21T22:09:08Z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